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930" tabRatio="913" activeTab="0"/>
  </bookViews>
  <sheets>
    <sheet name="01_Initial Setup" sheetId="1" r:id="rId1"/>
    <sheet name="02_Media_Personalization " sheetId="2" r:id="rId2"/>
    <sheet name="03_GSM_Specific" sheetId="3" r:id="rId3"/>
    <sheet name="04_GSM_SMS-EMS-MMS-Email" sheetId="4" r:id="rId4"/>
    <sheet name="05_Subsidy Lock_GSM " sheetId="5" r:id="rId5"/>
    <sheet name="06_GPRS_GSM" sheetId="6" r:id="rId6"/>
    <sheet name="07_GSM_WAP Profiles" sheetId="7" r:id="rId7"/>
    <sheet name="Media_Format" sheetId="8" r:id="rId8"/>
    <sheet name="History list" sheetId="9" r:id="rId9"/>
    <sheet name="GeraCSV" sheetId="10" state="hidden" r:id="rId10"/>
    <sheet name="CPV Input" sheetId="11" r:id="rId11"/>
    <sheet name="Request" sheetId="12" state="hidden" r:id="rId12"/>
  </sheets>
  <definedNames>
    <definedName name="_120E_Ringtones">#REF!</definedName>
    <definedName name="_60X_Ringtones">#REF!</definedName>
    <definedName name="_720_MENU_ORDER">#REF!</definedName>
    <definedName name="_720_RING_TONES">#REF!</definedName>
    <definedName name="_C33x_Ring">#REF!</definedName>
    <definedName name="C343_MENU_ORDER">#REF!</definedName>
    <definedName name="C343_RING_TONES">#REF!</definedName>
    <definedName name="_xlnm.Print_Titles" localSheetId="1">'02_Media_Personalization '!$2:$3</definedName>
    <definedName name="_xlnm.Print_Titles" localSheetId="2">'03_GSM_Specific'!$1:$2</definedName>
    <definedName name="_xlnm.Print_Titles" localSheetId="3">'04_GSM_SMS-EMS-MMS-Email'!$1:$2</definedName>
    <definedName name="_xlnm.Print_Titles" localSheetId="4">'05_Subsidy Lock_GSM '!$1:$2</definedName>
    <definedName name="_xlnm.Print_Titles" localSheetId="5">'06_GPRS_GSM'!$1:$2</definedName>
    <definedName name="V60E_P_MENU_ORDER">#REF!</definedName>
  </definedNames>
  <calcPr fullCalcOnLoad="1"/>
</workbook>
</file>

<file path=xl/comments5.xml><?xml version="1.0" encoding="utf-8"?>
<comments xmlns="http://schemas.openxmlformats.org/spreadsheetml/2006/main">
  <authors>
    <author>WKR004</author>
    <author>wba011</author>
  </authors>
  <commentList>
    <comment ref="B7" authorId="0">
      <text>
        <r>
          <rPr>
            <b/>
            <sz val="8"/>
            <color indexed="8"/>
            <rFont val="Tahoma"/>
            <family val="0"/>
          </rPr>
          <t>MCC and MNC read from IMSI of SIM must match one of up to 30 PLMN values programmed into phone.</t>
        </r>
      </text>
    </comment>
    <comment ref="B14" authorId="0">
      <text>
        <r>
          <rPr>
            <b/>
            <sz val="8"/>
            <color indexed="8"/>
            <rFont val="Tahoma"/>
            <family val="0"/>
          </rPr>
          <t>MCC and MNC read from IMSI of SIM must match one of up to 30 PLMN values programmed into phone.  Furthermore, the specified IMSI digit (in range 6 - 15) must match one of a list of legal values.</t>
        </r>
      </text>
    </comment>
    <comment ref="B30" authorId="0">
      <text>
        <r>
          <rPr>
            <b/>
            <sz val="8"/>
            <color indexed="8"/>
            <rFont val="Tahoma"/>
            <family val="0"/>
          </rPr>
          <t>MCC and MNC read from IMSI of SIM must match one of up to 30 PLMN values programmed into phone.  Furthermore, each IMSI digit from digit 6 through digit 15 must be within a specified range of values.  There is a legal range specified for each of the digits.</t>
        </r>
      </text>
    </comment>
    <comment ref="B44" authorId="0">
      <text>
        <r>
          <rPr>
            <b/>
            <sz val="8"/>
            <color indexed="8"/>
            <rFont val="Tahoma"/>
            <family val="0"/>
          </rPr>
          <t>MCC and MNC read from IMSI of SIM must match one of up to 30 PLMN values programmed into phone.  Furthermore, the GID1 value from the SIM must match a programmed GID1 value in the phone.</t>
        </r>
      </text>
    </comment>
    <comment ref="B52" authorId="0">
      <text>
        <r>
          <rPr>
            <b/>
            <sz val="8"/>
            <color indexed="8"/>
            <rFont val="Tahoma"/>
            <family val="0"/>
          </rPr>
          <t>Lock to the entire IMSI read from the first inserted SIM card.</t>
        </r>
      </text>
    </comment>
    <comment ref="B54" authorId="0">
      <text>
        <r>
          <rPr>
            <b/>
            <sz val="8"/>
            <color indexed="8"/>
            <rFont val="Tahoma"/>
            <family val="0"/>
          </rPr>
          <t>Lock to MCC and MNC read from IMSI of the first inserted SIM card.</t>
        </r>
      </text>
    </comment>
    <comment ref="B56" authorId="0">
      <text>
        <r>
          <rPr>
            <b/>
            <sz val="8"/>
            <color indexed="8"/>
            <rFont val="Tahoma"/>
            <family val="0"/>
          </rPr>
          <t>Lock to MCC and MNC (read from IMSI) and to the GID1 value from the first inserted SIM card.</t>
        </r>
      </text>
    </comment>
    <comment ref="B58" authorId="0">
      <text>
        <r>
          <rPr>
            <b/>
            <sz val="8"/>
            <color indexed="8"/>
            <rFont val="Tahoma"/>
            <family val="0"/>
          </rPr>
          <t>Locks to entire IMSI value of the first inserted SIM if the MCC and MNC values read from the IMSI of that SIM match one of a list of 6 possible valid PLMN values.</t>
        </r>
      </text>
    </comment>
    <comment ref="B22" authorId="0">
      <text>
        <r>
          <rPr>
            <b/>
            <sz val="8"/>
            <color indexed="8"/>
            <rFont val="Tahoma"/>
            <family val="0"/>
          </rPr>
          <t>MCC and MNC read from IMSI of SIM must match one of up to 30 PLMN values programmed into phone.  Furthermore, two specified IMSI digits (each in range 6 - 15) must match one of a list of legal values. (There is a separate list for each.)</t>
        </r>
      </text>
    </comment>
    <comment ref="E25" authorId="1">
      <text>
        <r>
          <rPr>
            <b/>
            <sz val="10"/>
            <rFont val="Tahoma"/>
            <family val="2"/>
          </rPr>
          <t>The values must be separated by one character in order to make CPV works
EX:
1 2 3 4 5     or    1.2.3.4.5</t>
        </r>
      </text>
    </comment>
    <comment ref="E27" authorId="1">
      <text>
        <r>
          <rPr>
            <b/>
            <sz val="10"/>
            <rFont val="Tahoma"/>
            <family val="2"/>
          </rPr>
          <t>The values must be separated by one character in order to make CPV works
EX:
1 2 3 4 5     or    1.2.3.4.5</t>
        </r>
      </text>
    </comment>
  </commentList>
</comments>
</file>

<file path=xl/comments7.xml><?xml version="1.0" encoding="utf-8"?>
<comments xmlns="http://schemas.openxmlformats.org/spreadsheetml/2006/main">
  <authors>
    <author>wba011</author>
  </authors>
  <commentList>
    <comment ref="B17" authorId="0">
      <text>
        <r>
          <rPr>
            <b/>
            <sz val="14"/>
            <rFont val="Tahoma"/>
            <family val="2"/>
          </rPr>
          <t>Use only numbers. Put the value in seconds.
Ex:
For 120 seconds  use "120"
For 10 minutes use "600"</t>
        </r>
      </text>
    </comment>
  </commentList>
</comments>
</file>

<file path=xl/comments9.xml><?xml version="1.0" encoding="utf-8"?>
<comments xmlns="http://schemas.openxmlformats.org/spreadsheetml/2006/main">
  <authors>
    <author>Administrator</author>
  </authors>
  <commentList>
    <comment ref="A6" authorId="0">
      <text>
        <r>
          <rPr>
            <b/>
            <sz val="8"/>
            <color indexed="8"/>
            <rFont val="Tahoma"/>
            <family val="0"/>
          </rPr>
          <t>Administrator:</t>
        </r>
        <r>
          <rPr>
            <sz val="8"/>
            <color indexed="8"/>
            <rFont val="Tahoma"/>
            <family val="0"/>
          </rPr>
          <t xml:space="preserve">
In case of new file, please insert a record saying </t>
        </r>
        <r>
          <rPr>
            <b/>
            <sz val="8"/>
            <color indexed="8"/>
            <rFont val="Tahoma"/>
            <family val="2"/>
          </rPr>
          <t>"Initial File"</t>
        </r>
        <r>
          <rPr>
            <sz val="8"/>
            <color indexed="8"/>
            <rFont val="Tahoma"/>
            <family val="0"/>
          </rPr>
          <t xml:space="preserve"> in Item# field and add</t>
        </r>
        <r>
          <rPr>
            <b/>
            <sz val="8"/>
            <color indexed="8"/>
            <rFont val="Tahoma"/>
            <family val="2"/>
          </rPr>
          <t xml:space="preserve"> "N/A"</t>
        </r>
        <r>
          <rPr>
            <sz val="8"/>
            <color indexed="8"/>
            <rFont val="Tahoma"/>
            <family val="0"/>
          </rPr>
          <t xml:space="preserve"> in the other fields. </t>
        </r>
      </text>
    </comment>
    <comment ref="C8" authorId="0">
      <text>
        <r>
          <rPr>
            <b/>
            <sz val="8"/>
            <color indexed="8"/>
            <rFont val="Tahoma"/>
            <family val="0"/>
          </rPr>
          <t>Administrator:</t>
        </r>
        <r>
          <rPr>
            <sz val="8"/>
            <color indexed="8"/>
            <rFont val="Tahoma"/>
            <family val="0"/>
          </rPr>
          <t xml:space="preserve">
Who is executing the change.</t>
        </r>
      </text>
    </comment>
    <comment ref="D8" authorId="0">
      <text>
        <r>
          <rPr>
            <b/>
            <sz val="8"/>
            <color indexed="8"/>
            <rFont val="Tahoma"/>
            <family val="0"/>
          </rPr>
          <t>Administrator:</t>
        </r>
        <r>
          <rPr>
            <sz val="8"/>
            <color indexed="8"/>
            <rFont val="Tahoma"/>
            <family val="0"/>
          </rPr>
          <t xml:space="preserve">
See number in the PRI Spreadsheet, i.e.:
4.0.17 (NAM File loc17); 5.0 (Need the field Name);...
</t>
        </r>
      </text>
    </comment>
  </commentList>
</comments>
</file>

<file path=xl/sharedStrings.xml><?xml version="1.0" encoding="utf-8"?>
<sst xmlns="http://schemas.openxmlformats.org/spreadsheetml/2006/main" count="2861" uniqueCount="1593">
  <si>
    <t>This is a 16 character field that will be used as the name for the WAP session. The phone will list all available sessions in alphabetic order.</t>
  </si>
  <si>
    <t>Home Page</t>
  </si>
  <si>
    <t>URL for the home WAP page</t>
  </si>
  <si>
    <t>Primary IP address</t>
  </si>
  <si>
    <t>Primary IP address for the WAP gateway</t>
  </si>
  <si>
    <t>Primary IP Port</t>
  </si>
  <si>
    <t>Primary IP port to be used for stablishing the connection to the WAP Gateway (9201, 9203)</t>
  </si>
  <si>
    <t>Domain 1</t>
  </si>
  <si>
    <t>Service Type 1</t>
  </si>
  <si>
    <t>WAP, WAP Connectionless, WAP Secure, WAP Secure Connectionless, HTTP, HTTP Secure</t>
  </si>
  <si>
    <t>Secondary IP address</t>
  </si>
  <si>
    <t>Secondary IP address for the WAP gateway. This IP will be used if the Primary IP is not found.</t>
  </si>
  <si>
    <t>Secondary IP Port</t>
  </si>
  <si>
    <t>StartPosition=61|Length=6</t>
  </si>
  <si>
    <t>PLNM 12</t>
  </si>
  <si>
    <t>StartPosition=67|Length=6</t>
  </si>
  <si>
    <t>StartPosition=73|Length=6</t>
  </si>
  <si>
    <t>010A000100000000</t>
  </si>
  <si>
    <t>00=0x00|01=0x01|03=0x03</t>
  </si>
  <si>
    <t>01A8000100000000</t>
  </si>
  <si>
    <t>004A000100210001</t>
  </si>
  <si>
    <t>004E000102140004</t>
  </si>
  <si>
    <t>Web Session Record 1 Data</t>
  </si>
  <si>
    <t>(Rec 1) User Session Name</t>
  </si>
  <si>
    <t>Obrigado.</t>
  </si>
  <si>
    <t>02A1000100000000</t>
  </si>
  <si>
    <t>###### PRI Header - Phone Details #######################</t>
  </si>
  <si>
    <t>###### KJava #######################</t>
  </si>
  <si>
    <t>###### Initial Setup #######################</t>
  </si>
  <si>
    <t>###### Media Files #######################</t>
  </si>
  <si>
    <t>###### Other Personalized settings #######################</t>
  </si>
  <si>
    <t>###### GSM_Specific #######################</t>
  </si>
  <si>
    <t>###### GSM_SMS-EMS-MMS-Email #######################</t>
  </si>
  <si>
    <t>###### Subsidy Lock GSM #######################</t>
  </si>
  <si>
    <t>###### GPRS GSM #######################</t>
  </si>
  <si>
    <t>###### Band Informations #######################</t>
  </si>
  <si>
    <t>###### GSM WAP Profiles #######################</t>
  </si>
  <si>
    <t>DL_DB_FEATURE_ID_STK_DISPLAY_TEXT_TIMEOUT_TIME
This feature will be in Seconds. The most common is:
0x0000EA60 – 60 seconds or 1 minute or
0x000007D0 – 2 Seconds
To know the hexa value: define the value you want in seconds, multiply by 1000 then convert it to hexa (windows calc do that)
To know the decimal value: copy the hexa value, convert it to decimal then devide it by 1000, you'll have the value in seconds</t>
  </si>
  <si>
    <t>Soft</t>
  </si>
  <si>
    <t>Vibrate</t>
  </si>
  <si>
    <t>Ring than Vibrate</t>
  </si>
  <si>
    <t>Silent</t>
  </si>
  <si>
    <t>Ring &amp; Vibrate</t>
  </si>
  <si>
    <t>ANS=(Rec 3) CSD User Name 1</t>
  </si>
  <si>
    <t>(Rec 3) CSD Password 1</t>
  </si>
  <si>
    <t>BytesPerData=4|ByteSwap=False</t>
  </si>
  <si>
    <t>ANS=(Rec 3) CSD Password 1</t>
  </si>
  <si>
    <t>(Rec 3) CSD Speed 1</t>
  </si>
  <si>
    <t>ANS=(Rec 3) CSD Speed 1</t>
  </si>
  <si>
    <t>(Rec 3) CSD Line Type 1</t>
  </si>
  <si>
    <t>ANS=(Rec 3) CSD Line Type 1</t>
  </si>
  <si>
    <t>(Rec 3) CSD User Name 2</t>
  </si>
  <si>
    <t>ANS=(Rec 3) CSD User Name 2</t>
  </si>
  <si>
    <t>(Rec 3) CSD Password 2</t>
  </si>
  <si>
    <t>ANS=(Rec 3) CSD Password 2</t>
  </si>
  <si>
    <t>(Rec 3) CSD Speed 2</t>
  </si>
  <si>
    <t>ANS=(Rec 3) CSD Speed 2</t>
  </si>
  <si>
    <t>(Rec 9) Domain 2 Name</t>
  </si>
  <si>
    <t>(Rec 9) Service Type 2</t>
  </si>
  <si>
    <t>(Rec 9) DNS 1</t>
  </si>
  <si>
    <t>(Rec 9) DNS 2</t>
  </si>
  <si>
    <t>(Rec 9) Timeout</t>
  </si>
  <si>
    <t>(Rec 9) CSD Number 1</t>
  </si>
  <si>
    <t>(Rec 9) CSD User Name 1</t>
  </si>
  <si>
    <t>(Rec 9) CSD Password 1</t>
  </si>
  <si>
    <t>(Rec 9) CSD Speed 1</t>
  </si>
  <si>
    <t>(Rec 9) CSD Line Type 1</t>
  </si>
  <si>
    <t>(Rec 9) CSD Number 2</t>
  </si>
  <si>
    <t>(Rec 9) CSD User Name 2</t>
  </si>
  <si>
    <t>(Rec 9) CSD Password 2</t>
  </si>
  <si>
    <t>(Rec 9) CSD Speed 2</t>
  </si>
  <si>
    <t>(Rec 9) CSD Line Type 2</t>
  </si>
  <si>
    <t>(Rec 9) GPRS APN</t>
  </si>
  <si>
    <t>(Rec 9) GPRS User Name</t>
  </si>
  <si>
    <t>(Rec 9) GPRS Password</t>
  </si>
  <si>
    <t>(Rec 10) Set As Default</t>
  </si>
  <si>
    <t>(Rec 10) Access</t>
  </si>
  <si>
    <t>(Rec 10) User Session Name</t>
  </si>
  <si>
    <t>(Rec 10) Home Page</t>
  </si>
  <si>
    <t>(Rec 10) Gateway IP1</t>
  </si>
  <si>
    <t>(Rec 10) Port 1</t>
  </si>
  <si>
    <t>(Rec 10) Domain 1 Name</t>
  </si>
  <si>
    <t>(Rec 10) Service Type 1</t>
  </si>
  <si>
    <t>(Rec 10) Gateway IP2</t>
  </si>
  <si>
    <t>Hex2Dec</t>
  </si>
  <si>
    <t>ByteSwap=True|BytesPerData=1</t>
  </si>
  <si>
    <t>Subsidy Lock Retries Left</t>
  </si>
  <si>
    <t>01C5000100140004</t>
  </si>
  <si>
    <t>DL_DB_FEATURE_ID_CPHS_PHONE_AVAILABLE
0 – Off
1 – On</t>
  </si>
  <si>
    <t>DL_DB_FEATURE_ID_SIMTK_USER_RESPONSE_TIMEOUT
This feature will be in Seconds. The most common is:
0x0000EA60 – 60 seconds or 1 minute
To know the hexa value: define the value you want in seconds, multiply by 1000 then convert it to hexa (windows calc do that)
To know the decimal value: copy the hexa value, convert it to decimal then devide it by 1000, you'll have the value in seconds</t>
  </si>
  <si>
    <t>DL_DB_FEATURE_ID_MMS_SIM_CHANGE_DELETE</t>
  </si>
  <si>
    <r>
      <t xml:space="preserve">MMS will use this to decide on action to perform on sim change. It decides if any messages should be deleted on sim change.
</t>
    </r>
    <r>
      <rPr>
        <b/>
        <sz val="10"/>
        <rFont val="Arial"/>
        <family val="2"/>
      </rPr>
      <t>Off:</t>
    </r>
    <r>
      <rPr>
        <sz val="10"/>
        <rFont val="Arial"/>
        <family val="2"/>
      </rPr>
      <t xml:space="preserve"> Don't delete
</t>
    </r>
    <r>
      <rPr>
        <b/>
        <sz val="10"/>
        <rFont val="Arial"/>
        <family val="2"/>
      </rPr>
      <t>On</t>
    </r>
    <r>
      <rPr>
        <sz val="10"/>
        <rFont val="Arial"/>
        <family val="2"/>
      </rPr>
      <t>: Delete</t>
    </r>
  </si>
  <si>
    <t>Delete Messages on SIM card change</t>
  </si>
  <si>
    <t>DL_DB_FEATURE_ID_MMS_SIM_CHANGE_DELETE
0 - Off
1 - On</t>
  </si>
  <si>
    <t>0006</t>
  </si>
  <si>
    <t>StartByte=1</t>
  </si>
  <si>
    <t>ByteSwap=False|BytesPerData=2</t>
  </si>
  <si>
    <t>Lock to list of PLMNs Only</t>
  </si>
  <si>
    <t>List of Valid HPLMNs</t>
  </si>
  <si>
    <t>Lock to PLMN list &amp; 1 IMSI Digit</t>
  </si>
  <si>
    <t>IMSI Digit To Check</t>
  </si>
  <si>
    <t>Valid Values for IMSI Digit</t>
  </si>
  <si>
    <t>Lock to PLMN list &amp; 2 IMSI Digit</t>
  </si>
  <si>
    <t>First IMSI Digit To Check</t>
  </si>
  <si>
    <t>Valid Values for 1st IMSI Digit</t>
  </si>
  <si>
    <t>Second IMSI Digit To Check</t>
  </si>
  <si>
    <t>Valid Values for 2nd IMSI Digit</t>
  </si>
  <si>
    <t>Lock to PLMN &amp; Range of IMSI</t>
  </si>
  <si>
    <t>IMSI Digit</t>
  </si>
  <si>
    <t>Valid Range</t>
  </si>
  <si>
    <t>Lock to PLMN list &amp; GID1</t>
  </si>
  <si>
    <t>GID1 Value (hex)</t>
  </si>
  <si>
    <t xml:space="preserve">Lock to IMSI of First Inserted Card </t>
  </si>
  <si>
    <t>Lock to PLMN of First Inserted Card</t>
  </si>
  <si>
    <t>Lock to PLMN &amp; GID1 of First Inserted Card</t>
  </si>
  <si>
    <t xml:space="preserve">Lock to IMSI of First Inserted Card Matching PLMN </t>
  </si>
  <si>
    <t>Valid PLMNs</t>
  </si>
  <si>
    <t>mcc-mnc</t>
  </si>
  <si>
    <r>
      <t xml:space="preserve">On: </t>
    </r>
    <r>
      <rPr>
        <sz val="10"/>
        <rFont val="Arial"/>
        <family val="2"/>
      </rPr>
      <t xml:space="preserve">The phone will activate the Subsidy Lock Security feature. Only SIM Card meeting the parameters for the Subsidylock specified in this section will be able to get service.  If you select On, please fill all the Subsidy Lock items that apply.
</t>
    </r>
    <r>
      <rPr>
        <b/>
        <sz val="10"/>
        <rFont val="Arial"/>
        <family val="2"/>
      </rPr>
      <t xml:space="preserve">Off:  </t>
    </r>
    <r>
      <rPr>
        <sz val="10"/>
        <rFont val="Arial"/>
        <family val="2"/>
      </rPr>
      <t>The Subsidy Lock Security feature won't be activated, meaning that the phone will accept any SIM Card.</t>
    </r>
  </si>
  <si>
    <t>Britsh English</t>
  </si>
  <si>
    <t>Deutsch</t>
  </si>
  <si>
    <t>Italian</t>
  </si>
  <si>
    <t>Nederlands</t>
  </si>
  <si>
    <t>Turkçe</t>
  </si>
  <si>
    <t>ITAP Deutsch</t>
  </si>
  <si>
    <t>ITAP Italian</t>
  </si>
  <si>
    <t>ITAP Nederlands</t>
  </si>
  <si>
    <t>ITAP Turkçe</t>
  </si>
  <si>
    <t>004F000101440004</t>
  </si>
  <si>
    <t>0000002A=Portuguese|0000000E=Spanish|00000001=English</t>
  </si>
  <si>
    <t>00000003=Britsh English|00000006=French|00000007=Deutsch|00000009=Italian|0000000A=Spanish|00000014=Nederlands|00000006=French|00000028=Turkçe|00000020=Portuguese</t>
  </si>
  <si>
    <t>00=ITAP English|01=ITAP French|02=ITAP Deutsch|03=ITAP Italian|04=ITAP Spanish|05=ITAP Nederlands|06=ITAP Turkçe|07=ITAP Portuguese|08=TAP Current Language|09=TAP Extended</t>
  </si>
  <si>
    <t xml:space="preserve">If a SIM Card not meeting the parameters for the Subsidy lock setting is inserted on the phone, a subsidy lock code will be requested. If the code entered by the user is not valid, this field specifies how many attempts the user will have before the penalty time starts. </t>
  </si>
  <si>
    <t>GPRS and WAP settings</t>
  </si>
  <si>
    <t>GPRS Attach mode</t>
  </si>
  <si>
    <t>GPRS Attach string</t>
  </si>
  <si>
    <t>This text will be displayed on the idle screen while the phone is attached to the GPRS network.</t>
  </si>
  <si>
    <t>Browser Confirmation at start up</t>
  </si>
  <si>
    <t>CSD Additional Charge Confirmation Prompt</t>
  </si>
  <si>
    <t>Cache Startup</t>
  </si>
  <si>
    <t>GPRS Linger time (seconds)</t>
  </si>
  <si>
    <t>Timeout for the GPRS connection. The phone will end the GPRS session if no data activity is registered after this timeout.</t>
  </si>
  <si>
    <t>004A000101BE0001</t>
  </si>
  <si>
    <t>ANS=(Rec 2) Gateway IP2</t>
  </si>
  <si>
    <t>ANS=(Rec 2) Port 2</t>
  </si>
  <si>
    <t>ANS=(Rec 2) Domain 2 Name</t>
  </si>
  <si>
    <t>ANS=(Rec 2) Service Type 2</t>
  </si>
  <si>
    <t>ANS=(Rec 2) DNS 1</t>
  </si>
  <si>
    <t>ANS=(Rec 2) DNS 2</t>
  </si>
  <si>
    <t>ANS=(Rec 2) CSD Number 1</t>
  </si>
  <si>
    <t>ANS=(Rec 2) CSD Number 2</t>
  </si>
  <si>
    <t>ANS=(Rec 3) Access</t>
  </si>
  <si>
    <t>ANS=(Rec 3) Home Page</t>
  </si>
  <si>
    <t>ANS=(Rec 3) Gateway IP1</t>
  </si>
  <si>
    <t>ANS=(Rec 3) Port 1</t>
  </si>
  <si>
    <t>ANS=(Rec 3) Domain 1 Name</t>
  </si>
  <si>
    <t>ANS=(Rec 3) Service Type 1</t>
  </si>
  <si>
    <t>ANS=(Rec 3) Gateway IP2</t>
  </si>
  <si>
    <t>ANS=(Rec 3) Port 2</t>
  </si>
  <si>
    <t>ANS=(Rec 3) Domain 2 Name</t>
  </si>
  <si>
    <t>ANS=(Rec 3) Service Type 2</t>
  </si>
  <si>
    <t>ANS=(Rec 3) DNS 1</t>
  </si>
  <si>
    <t>ANS=(Rec 3) DNS 2</t>
  </si>
  <si>
    <t>ANS=(Rec 3) CSD Number 1</t>
  </si>
  <si>
    <t>ANS=(Rec 3) CSD Number 2</t>
  </si>
  <si>
    <t>ANS=(Rec 4) Access</t>
  </si>
  <si>
    <t>ANS=(Rec 4) Home Page</t>
  </si>
  <si>
    <t>ANS=(Rec 4) Gateway IP1</t>
  </si>
  <si>
    <t>ANS=(Rec 4) Port 1</t>
  </si>
  <si>
    <t>ANS=(Rec 4) Domain 1 Name</t>
  </si>
  <si>
    <t>ANS=(Rec 4) Service Type 1</t>
  </si>
  <si>
    <t>ANS=(Rec 4) Gateway IP2</t>
  </si>
  <si>
    <t>ANS=(Rec 4) Port 2</t>
  </si>
  <si>
    <t>ANS=(Rec 4) Domain 2 Name</t>
  </si>
  <si>
    <t>PLNM 14</t>
  </si>
  <si>
    <t>StartPosition=79|Length=6</t>
  </si>
  <si>
    <t>FLEX_SUBSIDY_LOCK_GSM_HPLMN_LIST_14</t>
  </si>
  <si>
    <t>PLNM 15</t>
  </si>
  <si>
    <t>StartPosition=85|Length=6</t>
  </si>
  <si>
    <t>FLEX_SUBSIDY_LOCK_GSM_HPLMN_LIST_15</t>
  </si>
  <si>
    <t>PLNM 16</t>
  </si>
  <si>
    <t>StartPosition=91|Length=6</t>
  </si>
  <si>
    <t>FLEX_SUBSIDY_LOCK_GSM_HPLMN_LIST_16</t>
  </si>
  <si>
    <t>PLNM 17</t>
  </si>
  <si>
    <t>StartPosition=97|Length=6</t>
  </si>
  <si>
    <t>FLEX_SUBSIDY_LOCK_GSM_HPLMN_LIST_17</t>
  </si>
  <si>
    <t>PLNM 18</t>
  </si>
  <si>
    <t>StartPosition=103|Length=6</t>
  </si>
  <si>
    <t>FLEX_SUBSIDY_LOCK_GSM_HPLMN_LIST_18</t>
  </si>
  <si>
    <t>PLNM 19</t>
  </si>
  <si>
    <t>StartPosition=109|Length=6</t>
  </si>
  <si>
    <t>FLEX_SUBSIDY_LOCK_GSM_HPLMN_LIST_19</t>
  </si>
  <si>
    <t>PLNM 20</t>
  </si>
  <si>
    <t>StartPosition=115|Length=6</t>
  </si>
  <si>
    <t>FLEX_SUBSIDY_LOCK_GSM_HPLMN_LIST_20</t>
  </si>
  <si>
    <t>DL_DB_FEATURE_ID_BROWSER_PLACE_CSD_DIALOG_AVAILABLE</t>
  </si>
  <si>
    <t>DL_DB_FEATURE_ID_BROWSER_SERVICE_STATE</t>
  </si>
  <si>
    <t>FLEX_SUBSIDY_LOCK_GSM_FACTORY_MAX_RETRY</t>
  </si>
  <si>
    <t>DL_DB_FEATURE_ID_SIM_LANGUAGE_AVAILABLE</t>
  </si>
  <si>
    <t>DL_DB_FEATURE_ID_CURRENT_TURBO_DIAL</t>
  </si>
  <si>
    <t>DL_DB_FEATURE_ID_NETWORK_SEARCH_FREQUENCY</t>
  </si>
  <si>
    <t>WAP Shorcut 5 Name</t>
  </si>
  <si>
    <t>WAP Shorcut 5 URL</t>
  </si>
  <si>
    <t>WAP Shorcut 6 Name</t>
  </si>
  <si>
    <t>WAP Shorcut 6 URL</t>
  </si>
  <si>
    <t>Spanish (Mexico)</t>
  </si>
  <si>
    <t>DL_DB_FEATURE_ID_CPHS_PHONE_AVAILABLE</t>
  </si>
  <si>
    <t>DL_DB_FEATURE_ID_DUAL_LINE_PHONE_AVAILABLE</t>
  </si>
  <si>
    <t>(Rec 4) Gateway IP1</t>
  </si>
  <si>
    <t>(Rec 4) Port 1</t>
  </si>
  <si>
    <t>(Rec 4) Domain 1 Name</t>
  </si>
  <si>
    <t>(Rec 4) Service Type 1</t>
  </si>
  <si>
    <t>(Rec 4) Gateway IP2</t>
  </si>
  <si>
    <t>(Rec 4) Port 2</t>
  </si>
  <si>
    <t>(Rec 4) Domain 2 Name</t>
  </si>
  <si>
    <t>(Rec 4) Service Type 2</t>
  </si>
  <si>
    <t>(Rec 4) DNS 1</t>
  </si>
  <si>
    <t>(Rec 4) DNS 2</t>
  </si>
  <si>
    <t>(Rec 4) CSD Number 1</t>
  </si>
  <si>
    <t>(Rec 4) CSD Number 2</t>
  </si>
  <si>
    <t>(Rec 5) Access</t>
  </si>
  <si>
    <t>(Rec 5) Home Page</t>
  </si>
  <si>
    <t>(Rec 5) Gateway IP1</t>
  </si>
  <si>
    <t>(Rec 5) Port 1</t>
  </si>
  <si>
    <t>(Rec 5) Domain 1 Name</t>
  </si>
  <si>
    <t>(Rec 5) Service Type 1</t>
  </si>
  <si>
    <t>(Rec 5) Gateway IP2</t>
  </si>
  <si>
    <t>DL_DB_FEATURE_ID_CURRENT_LANGUAGE</t>
  </si>
  <si>
    <t>Platform</t>
  </si>
  <si>
    <t>004A000100010001</t>
  </si>
  <si>
    <t>Date Format</t>
  </si>
  <si>
    <t>004A000100000001</t>
  </si>
  <si>
    <t>004A000100450001</t>
  </si>
  <si>
    <t>01=On|00=Off</t>
  </si>
  <si>
    <t>004A000100130001</t>
  </si>
  <si>
    <t>0032000100000000</t>
  </si>
  <si>
    <t>FeatureId</t>
  </si>
  <si>
    <t>004A000100800001</t>
  </si>
  <si>
    <t>0034000100000000</t>
  </si>
  <si>
    <t>BytesPerData=2|ByteSwap=FALSE</t>
  </si>
  <si>
    <t>0065000100000000</t>
  </si>
  <si>
    <t>ANS=Left Soft Key</t>
  </si>
  <si>
    <t>ANS=Right Soft Key</t>
  </si>
  <si>
    <t>ANS=Smart Key</t>
  </si>
  <si>
    <t>Analog Clock</t>
  </si>
  <si>
    <t>004A000101710001</t>
  </si>
  <si>
    <t>004A000100020001</t>
  </si>
  <si>
    <t>009D000100000000</t>
  </si>
  <si>
    <t>004E000100300004</t>
  </si>
  <si>
    <t>004E000102B40004</t>
  </si>
  <si>
    <t>004A000101170001</t>
  </si>
  <si>
    <t>###### FOTA #######################</t>
  </si>
  <si>
    <t>FOTA Available</t>
  </si>
  <si>
    <t>FeatureId=987|IfSetDisplay=On|IfNotSetDisplay=Off</t>
  </si>
  <si>
    <t>DL_DB_FEATURE_ID_OTA_REPAIR_AVAILABLE</t>
  </si>
  <si>
    <t>Syncmldm Automatic Sessions Available</t>
  </si>
  <si>
    <t>FeatureId=1201|IfSetDisplay=On|IfNotSetDisplay=Off</t>
  </si>
  <si>
    <t>DL_DB_FEATURE_ID_SYNCMLDM_AUTOMATIC_SESSIONS_AVAILABLE</t>
  </si>
  <si>
    <t>Bootstrap Userpin Available</t>
  </si>
  <si>
    <t>FeatureId=1206|IfSetDisplay=On|IfNotSetDisplay=Off</t>
  </si>
  <si>
    <t>DL_DB_FEATURE_ID_SYNCML_DM_BOOTSTRAP_USERPIN_AVAILABLE</t>
  </si>
  <si>
    <t>FOTA Automatic Session Available</t>
  </si>
  <si>
    <t>FeatureId=1213|IfSetDisplay=On|IfNotSetDisplay=Off</t>
  </si>
  <si>
    <t>DL_DB_FEATURE_ID_FOTA_AUTOMATIC_SESSION_AVAILABLE</t>
  </si>
  <si>
    <t>Lets supose your SIM card is portuguese. Change the phone language do English and turn the phone on without the SIM card. It must show a message in english. After that put the SIM card back and turn on the phone again, and it must show messages in portuguese.
or
Try to use 2 different SIM cards, one in each language, in the same phone. The phone must show messages in the language of the SIM cards.
or
DL_DB_FEATURE_ID_SIM_LANGUAGE_AVAILABLE
0 – Off
1 – On</t>
  </si>
  <si>
    <t>Options: Voice Dial, Phonebook, Recent Calls, Chat, Alert Styles, Media Center, Games &amp; Apps, Web Access, Office Tools, Alarm Clock, Settings, MyMenu, Messages, Fixed Dial, Quick Dial, Personalize, Java Settings, Themes, Pictures, Sounds, MotoMixer, DateBook, Calculator, Browser, Web Sessions. See phone menu for more options</t>
  </si>
  <si>
    <t>Select the ringertone from the ones available on the phone.</t>
  </si>
  <si>
    <t>Customer Wake-up and Good-bye GIF Animation Graphic Specifications</t>
  </si>
  <si>
    <t>Customer predefined Midi files specifications</t>
  </si>
  <si>
    <t>Screensaver Animation Graphic Specifications</t>
  </si>
  <si>
    <t>ServerIP1</t>
  </si>
  <si>
    <t>MMINS</t>
  </si>
  <si>
    <t>ServerIP2</t>
  </si>
  <si>
    <t>GprsApn</t>
  </si>
  <si>
    <t>GprsUsername</t>
  </si>
  <si>
    <t>GprsPassword</t>
  </si>
  <si>
    <t>AnswerMode</t>
  </si>
  <si>
    <t>/a/mobile/system/PttSettings.conf</t>
  </si>
  <si>
    <t>PTTServer]
ServerIP1 string "</t>
  </si>
  <si>
    <t>" RW
ServerIP2 string "</t>
  </si>
  <si>
    <t>" RW
GprsApn  string      "</t>
  </si>
  <si>
    <t>" RW 
GprsUsername string "</t>
  </si>
  <si>
    <t>" RW 
GprsPassword string "</t>
  </si>
  <si>
    <t xml:space="preserve">" RW 
OptionOpenTo option LastCall RW 
OptionSortBy option Status RW 
OptionAnsMode option </t>
  </si>
  <si>
    <t>00000000=none|0004B000=300K|00019000=100K</t>
  </si>
  <si>
    <r>
      <t>If the SIM PIN is blocked</t>
    </r>
    <r>
      <rPr>
        <b/>
        <sz val="10"/>
        <rFont val="Arial"/>
        <family val="2"/>
      </rPr>
      <t xml:space="preserve">
On:</t>
    </r>
    <r>
      <rPr>
        <sz val="10"/>
        <rFont val="Arial"/>
        <family val="2"/>
      </rPr>
      <t xml:space="preserve"> The phone will automatically ask the user to unblock the SIM Card.
</t>
    </r>
    <r>
      <rPr>
        <b/>
        <sz val="10"/>
        <rFont val="Arial"/>
        <family val="2"/>
      </rPr>
      <t xml:space="preserve">Off: </t>
    </r>
    <r>
      <rPr>
        <sz val="10"/>
        <rFont val="Arial"/>
        <family val="2"/>
      </rPr>
      <t>The user will need to enter the secuence **05* to start the PIN unblock process.</t>
    </r>
  </si>
  <si>
    <r>
      <t>On:</t>
    </r>
    <r>
      <rPr>
        <sz val="10"/>
        <rFont val="Arial"/>
        <family val="2"/>
      </rPr>
      <t xml:space="preserve"> All incoming SMS are stored on the SIM Card memory.
</t>
    </r>
    <r>
      <rPr>
        <b/>
        <sz val="10"/>
        <rFont val="Arial"/>
        <family val="2"/>
      </rPr>
      <t xml:space="preserve">Off: </t>
    </r>
    <r>
      <rPr>
        <sz val="10"/>
        <rFont val="Arial"/>
        <family val="2"/>
      </rPr>
      <t>The phone will store incoming SMS into the phone memory.</t>
    </r>
  </si>
  <si>
    <t>Allow Forward of EMS content</t>
  </si>
  <si>
    <t>No default values</t>
  </si>
  <si>
    <t>Secondray Input Method of SMS</t>
  </si>
  <si>
    <t>Info Service</t>
  </si>
  <si>
    <t>Indicates if the phone will receive the InfoService messages. The user can change this setting using the phone menu.</t>
  </si>
  <si>
    <t>FLEX_SUBSIDY_LOCK_GSM_PRIMARY_LOCK_TYPE</t>
  </si>
  <si>
    <t>FDF Value</t>
  </si>
  <si>
    <t>Phone number to be dialed for the CSD connection if CSD User Name L1 fails</t>
  </si>
  <si>
    <t>CSD User Name L2</t>
  </si>
  <si>
    <t>User name to be used for authentication when the phone is dialing the CSD Phone Number L2</t>
  </si>
  <si>
    <t>CSD Password L2</t>
  </si>
  <si>
    <t>Password to be used in conjuction with CSD User Name L2</t>
  </si>
  <si>
    <t>CSD Connection Speed L2</t>
  </si>
  <si>
    <t>CSD Line Type L2</t>
  </si>
  <si>
    <t>GPRS APN</t>
  </si>
  <si>
    <t>GPRS User Name</t>
  </si>
  <si>
    <t>User name to be used for authentication for GPRS</t>
  </si>
  <si>
    <t>GPRS Password</t>
  </si>
  <si>
    <t>Password to be used in conjuction with the GPRS User Name</t>
  </si>
  <si>
    <r>
      <t xml:space="preserve">RW (Read and Write): </t>
    </r>
    <r>
      <rPr>
        <sz val="10"/>
        <rFont val="Arial"/>
        <family val="2"/>
      </rPr>
      <t xml:space="preserve">The user is able to see and edit the data specified in this session
</t>
    </r>
    <r>
      <rPr>
        <b/>
        <sz val="10"/>
        <rFont val="Arial"/>
        <family val="2"/>
      </rPr>
      <t xml:space="preserve">R (Read Only): </t>
    </r>
    <r>
      <rPr>
        <sz val="10"/>
        <rFont val="Arial"/>
        <family val="2"/>
      </rPr>
      <t>The data set in the profile is not editable by the user.</t>
    </r>
  </si>
  <si>
    <t>Software Version</t>
  </si>
  <si>
    <t>Language Pack</t>
  </si>
  <si>
    <t>Java Pack</t>
  </si>
  <si>
    <t>PRI Version</t>
  </si>
  <si>
    <t>PRI Date</t>
  </si>
  <si>
    <t>Item 1</t>
  </si>
  <si>
    <t>Initial Setup, Personalize, and other features</t>
  </si>
  <si>
    <t>Name</t>
  </si>
  <si>
    <t>Default Value</t>
  </si>
  <si>
    <t>Customer Selection</t>
  </si>
  <si>
    <t>Description</t>
  </si>
  <si>
    <t>Current Language</t>
  </si>
  <si>
    <t>Item 2</t>
  </si>
  <si>
    <t>Subsidy Lock Settings</t>
  </si>
  <si>
    <t>Item 3</t>
  </si>
  <si>
    <t>On</t>
  </si>
  <si>
    <t>Item 4</t>
  </si>
  <si>
    <t>Time Format</t>
  </si>
  <si>
    <t>Date format</t>
  </si>
  <si>
    <t>DTMF</t>
  </si>
  <si>
    <t>Left Soft Key</t>
  </si>
  <si>
    <t>Right Soft Key</t>
  </si>
  <si>
    <t>Smart Key</t>
  </si>
  <si>
    <t>Multiple Key answer</t>
  </si>
  <si>
    <t>Calling Voice Mail when pressing 1</t>
  </si>
  <si>
    <t>Auto Display Hyphens</t>
  </si>
  <si>
    <t>Digital TTY</t>
  </si>
  <si>
    <t>Additional Emergency Number</t>
  </si>
  <si>
    <t>History List</t>
  </si>
  <si>
    <t>Date</t>
  </si>
  <si>
    <t>Owner Name</t>
  </si>
  <si>
    <t>Item #</t>
  </si>
  <si>
    <t>Field Name</t>
  </si>
  <si>
    <t>Old Field Value</t>
  </si>
  <si>
    <t>New Field Value</t>
  </si>
  <si>
    <t>Additional Comments</t>
  </si>
  <si>
    <t>Customer Name and Title</t>
  </si>
  <si>
    <t>Quick Note 1</t>
  </si>
  <si>
    <t>ANS=Quick Note 1</t>
  </si>
  <si>
    <t>Quick Note 2</t>
  </si>
  <si>
    <t>Support to 15 Shortcuts</t>
  </si>
  <si>
    <t>DL_DB_FEATURE_ID_GPRS_STATUS_STRING
For LAN, LAS and MEX:
&lt;SEEM_GPRS_STATUS_STRING&gt;
# Current length: 1 lines
('G','P','R','S',0) /* 001 */ |* DL_DB_FEATURE_ID_GPRS_STATUS_STRING *|
&lt;/SEEM_GPRS_STATUS_STRING&gt;
For Brazil:
&lt;SEEM_GPRS_STATUS_STRING&gt;
(0x0000) |* DL_DB_FEATURE_ID_GPRS_STATUS_STRING *|
&lt;/SEEM_GPRS_STATUS_STRING&gt;</t>
  </si>
  <si>
    <t>DL_DB_FEATURE_ID_BROWSER_ADDITIONAL_CHARGE_PMPT_AVAILABLE
0 – Off
1 – On</t>
  </si>
  <si>
    <t>DL_DB_FEATURE_ID_GSM_900_AVAILABLE</t>
  </si>
  <si>
    <t>Header</t>
  </si>
  <si>
    <t>###### Pre-Loaded Quick Notes #######################</t>
  </si>
  <si>
    <t>CDMA1XQuickNotes</t>
  </si>
  <si>
    <t>OffsetSEEM10000=TRUE|StartIndex=59</t>
  </si>
  <si>
    <t>ANS=(Rec 8) Access</t>
  </si>
  <si>
    <t>ANS=(Rec 8) User Session Name</t>
  </si>
  <si>
    <t>ANS=(Rec 8) Home Page</t>
  </si>
  <si>
    <t>ANS=(Rec 8) Gateway IP1</t>
  </si>
  <si>
    <t>ANS=(Rec 8) Port 1</t>
  </si>
  <si>
    <t>ANS=(Rec 8) Domain 1 Name</t>
  </si>
  <si>
    <t>ANS=(Rec 8) Service Type 1</t>
  </si>
  <si>
    <t>ANS=(Rec 8) Gateway IP2</t>
  </si>
  <si>
    <t>ANS=(Rec 8) Port 2</t>
  </si>
  <si>
    <t>ANS=(Rec 8) Domain 2 Name</t>
  </si>
  <si>
    <t>ANS=(Rec 8) Service Type 2</t>
  </si>
  <si>
    <t>ANS=(Rec 8) DNS 1</t>
  </si>
  <si>
    <t>ANS=(Rec 8) DNS 2</t>
  </si>
  <si>
    <t>ANS=(Rec 8) Timeout</t>
  </si>
  <si>
    <t>ANS=(Rec 8) CSD Number 1</t>
  </si>
  <si>
    <t>ANS=(Rec 8) CSD User Name 1</t>
  </si>
  <si>
    <t>ANS=(Rec 8) CSD Password 1</t>
  </si>
  <si>
    <t>ANS=(Rec 8) CSD Speed 1</t>
  </si>
  <si>
    <t>ANS=(Rec 8) CSD Line Type 1</t>
  </si>
  <si>
    <t>ANS=(Rec 8) CSD Number 2</t>
  </si>
  <si>
    <t>ANS=(Rec 8) CSD User Name 2</t>
  </si>
  <si>
    <t>ANS=(Rec 8) CSD Password 2</t>
  </si>
  <si>
    <t>ANS=(Rec 8) CSD Speed 2</t>
  </si>
  <si>
    <t>ANS=(Rec 8) CSD Line Type 2</t>
  </si>
  <si>
    <t>ANS=(Rec 8) GPRS APN</t>
  </si>
  <si>
    <t>ANS=(Rec 8) GPRS User Name</t>
  </si>
  <si>
    <t>ANS=(Rec 8) GPRS Password</t>
  </si>
  <si>
    <t>ANS=(Rec 9) Access</t>
  </si>
  <si>
    <t>ANS=(Rec 9) User Session Name</t>
  </si>
  <si>
    <t>ANS=(Rec 9) Home Page</t>
  </si>
  <si>
    <t>ANS=(Rec 9) Gateway IP1</t>
  </si>
  <si>
    <t>ANS=(Rec 9) Port 1</t>
  </si>
  <si>
    <t>ANS=(Rec 9) Domain 1 Name</t>
  </si>
  <si>
    <t>ANS=(Rec 9) Service Type 1</t>
  </si>
  <si>
    <t>ANS=(Rec 9) Gateway IP2</t>
  </si>
  <si>
    <t>ANS=(Rec 9) Port 2</t>
  </si>
  <si>
    <t>Lock on Telefonica Secondary Lock (0x0A)</t>
  </si>
  <si>
    <t>Lock on HLR Table (0x0B)</t>
  </si>
  <si>
    <t>Lock on Airtel SIM Lock (0x0D)</t>
  </si>
  <si>
    <t>Quick Note 7</t>
  </si>
  <si>
    <t>ANS=Quick Note 7</t>
  </si>
  <si>
    <t>Quick Note 8</t>
  </si>
  <si>
    <t>ANS=Quick Note 8</t>
  </si>
  <si>
    <t>Quick Note 9</t>
  </si>
  <si>
    <t>ANS=Quick Note 9</t>
  </si>
  <si>
    <t>Quick Note 10</t>
  </si>
  <si>
    <t>ANS=Quick Note 10</t>
  </si>
  <si>
    <t>Quick Note 11</t>
  </si>
  <si>
    <t>ANS=Quick Note 11</t>
  </si>
  <si>
    <t>Quick Note 12</t>
  </si>
  <si>
    <t>ANS=Quick Note 12</t>
  </si>
  <si>
    <t>Quick Note 13</t>
  </si>
  <si>
    <t>ANS=Quick Note 13</t>
  </si>
  <si>
    <t>Quick Note 14</t>
  </si>
  <si>
    <t>ANS=Quick Note 14</t>
  </si>
  <si>
    <t>Quick Note 15</t>
  </si>
  <si>
    <t>ANS=Quick Note 15</t>
  </si>
  <si>
    <t>Quick View Channel</t>
  </si>
  <si>
    <t>Number of Allowed Password Retries</t>
  </si>
  <si>
    <t>Length Penalty Time (minutes)</t>
  </si>
  <si>
    <t>Multimedia</t>
  </si>
  <si>
    <t>0B=Quad-Band|0C=Tri-Band (850-1800-1900)|09=Tri-Band (900-1800-1900)</t>
  </si>
  <si>
    <t>DL_DB_FEATURE_ID_BAND_CAPABILITY</t>
  </si>
  <si>
    <r>
      <t xml:space="preserve">5. </t>
    </r>
    <r>
      <rPr>
        <sz val="12"/>
        <rFont val="Times New Roman"/>
        <family val="1"/>
      </rPr>
      <t>Transparency indexing is supported</t>
    </r>
  </si>
  <si>
    <r>
      <t>6.</t>
    </r>
    <r>
      <rPr>
        <sz val="12"/>
        <rFont val="Times New Roman"/>
        <family val="1"/>
      </rPr>
      <t xml:space="preserve"> Recommend GIF files are NOT to have Black Background color.</t>
    </r>
  </si>
  <si>
    <r>
      <t>1.</t>
    </r>
    <r>
      <rPr>
        <sz val="12"/>
        <rFont val="Times New Roman"/>
        <family val="1"/>
      </rPr>
      <t xml:space="preserve"> Midi files format can be type 0, type 1 and SP-midi</t>
    </r>
  </si>
  <si>
    <r>
      <t>2.</t>
    </r>
    <r>
      <rPr>
        <sz val="12"/>
        <rFont val="Times New Roman"/>
        <family val="1"/>
      </rPr>
      <t xml:space="preserve"> Max Polyphony voices 24</t>
    </r>
  </si>
  <si>
    <r>
      <t>3.</t>
    </r>
    <r>
      <rPr>
        <sz val="12"/>
        <rFont val="Times New Roman"/>
        <family val="1"/>
      </rPr>
      <t xml:space="preserve"> 128 Instruments</t>
    </r>
  </si>
  <si>
    <r>
      <t>4.</t>
    </r>
    <r>
      <rPr>
        <sz val="12"/>
        <rFont val="Times New Roman"/>
        <family val="1"/>
      </rPr>
      <t xml:space="preserve"> Max recommended file size is 15K.</t>
    </r>
  </si>
  <si>
    <t>*2</t>
  </si>
  <si>
    <t>Movistar GSM Wakeup.gif</t>
  </si>
  <si>
    <t>Movistar GSM Shutdown.gif</t>
  </si>
  <si>
    <t>Movistar GSM SS.gif</t>
  </si>
  <si>
    <t>http://mms.movistar.com.ve:8088/mms</t>
  </si>
  <si>
    <t>732-123</t>
  </si>
  <si>
    <t>704-03</t>
  </si>
  <si>
    <t>748-07</t>
  </si>
  <si>
    <t>740-00</t>
  </si>
  <si>
    <t>706-04</t>
  </si>
  <si>
    <t>722-07</t>
  </si>
  <si>
    <t>734-04</t>
  </si>
  <si>
    <t>710-30</t>
  </si>
  <si>
    <t>716-06</t>
  </si>
  <si>
    <t>214-07</t>
  </si>
  <si>
    <t>714-02</t>
  </si>
  <si>
    <t>334-03</t>
  </si>
  <si>
    <t>730-02</t>
  </si>
  <si>
    <t>GPRS</t>
  </si>
  <si>
    <t>http://www.hellomoto.com</t>
  </si>
  <si>
    <t>Emocion</t>
  </si>
  <si>
    <t>Internet Movil</t>
  </si>
  <si>
    <t>http://interactivo.telcel.net.ve/</t>
  </si>
  <si>
    <t>200.035.064.073</t>
  </si>
  <si>
    <t>HTTP</t>
  </si>
  <si>
    <t>WAP</t>
  </si>
  <si>
    <t>200.035.065.003</t>
  </si>
  <si>
    <t>200.035.065.004</t>
  </si>
  <si>
    <t>wap.movistar.ve</t>
  </si>
  <si>
    <t>internet.movistar.ve</t>
  </si>
  <si>
    <t>mms.movistar.ve</t>
  </si>
  <si>
    <t>PRI_L6i_Movistar_Venezuela_5.5.6_03-01-07</t>
  </si>
  <si>
    <t>03/01/07</t>
  </si>
  <si>
    <t>5.5.6</t>
  </si>
  <si>
    <r>
      <t>5.</t>
    </r>
    <r>
      <rPr>
        <sz val="12"/>
        <rFont val="Times New Roman"/>
        <family val="1"/>
      </rPr>
      <t xml:space="preserve"> Max duration 16-30 secs</t>
    </r>
  </si>
  <si>
    <r>
      <t xml:space="preserve">4. </t>
    </r>
    <r>
      <rPr>
        <sz val="12"/>
        <rFont val="Times New Roman"/>
        <family val="1"/>
      </rPr>
      <t>Recommended number of frames 9 - 15</t>
    </r>
  </si>
  <si>
    <r>
      <t>6.</t>
    </r>
    <r>
      <rPr>
        <sz val="12"/>
        <rFont val="Times New Roman"/>
        <family val="1"/>
      </rPr>
      <t xml:space="preserve"> After 1 minute, the screensaver will freeze on the 1st frame; design 1st frame to be compelling accordingly</t>
    </r>
  </si>
  <si>
    <r>
      <t xml:space="preserve">1. </t>
    </r>
    <r>
      <rPr>
        <sz val="12"/>
        <rFont val="Times New Roman"/>
        <family val="1"/>
      </rPr>
      <t>GIF files can be in GIF87a, GIF89a and WBMP formats</t>
    </r>
  </si>
  <si>
    <r>
      <t>2.</t>
    </r>
    <r>
      <rPr>
        <sz val="12"/>
        <rFont val="Times New Roman"/>
        <family val="1"/>
      </rPr>
      <t xml:space="preserve"> File-sizes should not be larger than 15K bytes in size (recommend optimizing with optimization software tools)</t>
    </r>
  </si>
  <si>
    <r>
      <t>3.</t>
    </r>
    <r>
      <rPr>
        <sz val="12"/>
        <rFont val="Times New Roman"/>
        <family val="1"/>
      </rPr>
      <t xml:space="preserve"> Total elapse time for the entire animation sequence should be less than 4 seconds</t>
    </r>
  </si>
  <si>
    <r>
      <t>4.</t>
    </r>
    <r>
      <rPr>
        <sz val="12"/>
        <rFont val="Times New Roman"/>
        <family val="1"/>
      </rPr>
      <t xml:space="preserve"> Recommend  files are NOT to have Black Background color.</t>
    </r>
  </si>
  <si>
    <r>
      <t xml:space="preserve">1. </t>
    </r>
    <r>
      <rPr>
        <sz val="12"/>
        <rFont val="Times New Roman"/>
        <family val="1"/>
      </rPr>
      <t>Each file contains 1 wallpaper, 1 screensaver, 1 MIDI ring tone.  See specifications for each file type above.</t>
    </r>
  </si>
  <si>
    <r>
      <t xml:space="preserve">2. </t>
    </r>
    <r>
      <rPr>
        <sz val="12"/>
        <rFont val="Times New Roman"/>
        <family val="1"/>
      </rPr>
      <t>Files must be bundled into a .mtf file in order to be used.  Tool will be made available.</t>
    </r>
  </si>
  <si>
    <r>
      <t xml:space="preserve">1. </t>
    </r>
    <r>
      <rPr>
        <sz val="12"/>
        <rFont val="Times New Roman"/>
        <family val="1"/>
      </rPr>
      <t>Bit Rate: 65kbps max</t>
    </r>
  </si>
  <si>
    <r>
      <t>2.</t>
    </r>
    <r>
      <rPr>
        <sz val="12"/>
        <rFont val="Times New Roman"/>
        <family val="1"/>
      </rPr>
      <t xml:space="preserve"> Recommended File Size: 75k - 150k</t>
    </r>
  </si>
  <si>
    <r>
      <t>3.</t>
    </r>
    <r>
      <rPr>
        <sz val="12"/>
        <rFont val="Times New Roman"/>
        <family val="1"/>
      </rPr>
      <t xml:space="preserve"> Maximum Duration: 15-20 seconds</t>
    </r>
  </si>
  <si>
    <t>Customer screen saver. Refer to the "Media_Format" tab for file specification.</t>
  </si>
  <si>
    <t>Customer wallpaper banner. Refer to the "Media_Format" tab for file specification.</t>
  </si>
  <si>
    <t>Customer banner for Goodbye Graphic. Refer to the "Media_Format" tab for file specification.</t>
  </si>
  <si>
    <t>Customer banner for Power Up Graphic. Refer to the "Media_Format" tab for file specification.</t>
  </si>
  <si>
    <t>Additional files if needed</t>
  </si>
  <si>
    <t>Motorola Default</t>
  </si>
  <si>
    <t>(Rec 1) CSD Password 2</t>
  </si>
  <si>
    <t>ANS=(Rec 1) CSD Password 2</t>
  </si>
  <si>
    <t>(Rec 1) CSD Speed 2</t>
  </si>
  <si>
    <t>ANS=(Rec 1) CSD Speed 2</t>
  </si>
  <si>
    <t>(Rec 1) CSD Line Type 2</t>
  </si>
  <si>
    <t>ANS=(Rec 1) CSD Line Type 2</t>
  </si>
  <si>
    <t>(Rec 1) GPRS APN</t>
  </si>
  <si>
    <t>ANS=(Rec 1) GPRS APN</t>
  </si>
  <si>
    <t>(Rec 1) GPRS User Name</t>
  </si>
  <si>
    <t>ANS=(Rec 1) GPRS User Name</t>
  </si>
  <si>
    <t>(Rec 1) GPRS Password</t>
  </si>
  <si>
    <t>If Info Service is set to ON and the Quick View Channes is set, this field indicates if the Quick View messages are saved.</t>
  </si>
  <si>
    <t>MMS Server</t>
  </si>
  <si>
    <t>Link to the MMS Server</t>
  </si>
  <si>
    <t>MMS Profile</t>
  </si>
  <si>
    <t>MENU -&gt; Settings -&gt; Initial Setup if the option Digital TTY is available
Yes = On
No = Off
or
DL_DB_FEATURE_ID_DIGITAL_TTY_AVAILABLE
0 – Off
1 – On</t>
  </si>
  <si>
    <t xml:space="preserve">To check this feature, dial the emergency number and press send. The screen should show “Calling Emergency”
or
DL_DB_FEATURE_ID_EMERGENCY_NUMBER or
SEEM_EMERGENCY_NUMBERS
The value should show: 
Ex Emergency number is 190
&lt;SEEM_EMERGENCY_NUMBERS&gt;
('1', '9', '0', 0) /* 001 */ |* DL_DB_FEATURE_ID_EMERGENCY_NUMBER *|
&lt;/SEEM_EMERGENCY_NUMBERS&gt;
</t>
  </si>
  <si>
    <t xml:space="preserve">00= |01= </t>
  </si>
  <si>
    <t>Menu -&gt; Messages -&gt; Menu -&gt; Voice Mail Settings -&gt; Voice Mail number
or
SEEM_VOICE_MAIL_NUMBER
Ex.Voice Mail number = *100
The Value should show:
&lt;SEEM_VOICE_MAIL_NUMBER&gt;
('*','1','0','0',0)
&lt;/SEEM_VOICE_MAIL_NUMBER&gt;</t>
  </si>
  <si>
    <t>After Master Clear and Master reset, the default wallpaper will appear on the main screen.</t>
  </si>
  <si>
    <t>After Master Clears and Master Reset, leave the phone for a while and an animation must appear. This is the default Screen Saver.</t>
  </si>
  <si>
    <t>Radio</t>
  </si>
  <si>
    <t>(Rec 5) GPRS APN</t>
  </si>
  <si>
    <t>(Rec 5) GPRS User Name</t>
  </si>
  <si>
    <t>(Rec 5) GPRS Password</t>
  </si>
  <si>
    <t>ANS=(Rec 5) User Session Name</t>
  </si>
  <si>
    <t>ANS=(Rec 5) Timeout</t>
  </si>
  <si>
    <t>ANS=(Rec 5) CSD User Name 1</t>
  </si>
  <si>
    <t>ANS=(Rec 5) CSD Password 1</t>
  </si>
  <si>
    <t>ANS=(Rec 5) CSD Speed 1</t>
  </si>
  <si>
    <t>ANS=(Rec 5) CSD Line Type 1</t>
  </si>
  <si>
    <t>ANS=(Rec 5) CSD User Name 2</t>
  </si>
  <si>
    <t>ANS=(Rec 5) CSD Password 2</t>
  </si>
  <si>
    <t>ANS=(Rec 5) CSD Speed 2</t>
  </si>
  <si>
    <t>ANS=(Rec 5) CSD Line Type 2</t>
  </si>
  <si>
    <t>ANS=(Rec 5) GPRS APN</t>
  </si>
  <si>
    <t>ANS=(Rec 5) GPRS User Name</t>
  </si>
  <si>
    <t>ANS=(Rec 5) GPRS Password</t>
  </si>
  <si>
    <t>(Rec 6) User Session Name</t>
  </si>
  <si>
    <t>(Rec 6) Timeout</t>
  </si>
  <si>
    <t>(Rec 6) CSD User Name 1</t>
  </si>
  <si>
    <t>(Rec 6) CSD Password 1</t>
  </si>
  <si>
    <t>(Rec 6) CSD Speed 1</t>
  </si>
  <si>
    <t>(Rec 6) CSD Line Type 1</t>
  </si>
  <si>
    <t>(Rec 6) CSD User Name 2</t>
  </si>
  <si>
    <t>(Rec 6) CSD Password 2</t>
  </si>
  <si>
    <t>(Rec 6) CSD Speed 2</t>
  </si>
  <si>
    <t>(Rec 6) CSD Line Type 2</t>
  </si>
  <si>
    <t>(Rec 6) GPRS APN</t>
  </si>
  <si>
    <t>WAP Shorcut 11 Name</t>
  </si>
  <si>
    <t>WAP Shorcut 11 URL</t>
  </si>
  <si>
    <t>WAP Shorcut 12 Name</t>
  </si>
  <si>
    <t>WAP Shorcut 12 URL</t>
  </si>
  <si>
    <t>WAP Shorcut 13 Name</t>
  </si>
  <si>
    <t>WAP Shorcut 13 URL</t>
  </si>
  <si>
    <t>WAP Shorcut 14 Name</t>
  </si>
  <si>
    <t>WAP Shorcut 14 URL</t>
  </si>
  <si>
    <t>WAP Shorcut 15 Name</t>
  </si>
  <si>
    <t>WAP Shorcut 15 URL</t>
  </si>
  <si>
    <t>(Rec 4) Home Page</t>
  </si>
  <si>
    <t>Default Media</t>
  </si>
  <si>
    <t>Flex</t>
  </si>
  <si>
    <t>SMS, EMS, MMS and Email Settings</t>
  </si>
  <si>
    <t>MMS size limit</t>
  </si>
  <si>
    <t>00=ITAP English|01=ITAP French|02=ITAP Spanish|03=ITAP Portuguese|04=TAP English|05=TAP French|06=TAP Spanish|07=TAP Portuguese|08=TAP Extended</t>
  </si>
  <si>
    <t>ANS=(Rec 6) GPRS User Name</t>
  </si>
  <si>
    <t>ANS=(Rec 6) GPRS Password</t>
  </si>
  <si>
    <t>ANS=(Rec 1) Access</t>
  </si>
  <si>
    <t>ANS=(Rec 1) User Session Name</t>
  </si>
  <si>
    <t>ANS=(Rec 1) Home Page</t>
  </si>
  <si>
    <t>ANS=(Rec 1) Gateway IP1</t>
  </si>
  <si>
    <t>ANS=(Rec 1) Port 1</t>
  </si>
  <si>
    <t>ANS=(Rec 1) Domain 1 Name</t>
  </si>
  <si>
    <t>ANS=(Rec 1) Service Type 1</t>
  </si>
  <si>
    <t>ANS=(Rec 1) Gateway IP2</t>
  </si>
  <si>
    <t>ANS=(Rec 1) Port 2</t>
  </si>
  <si>
    <t>ANS=(Rec 1) Domain 2 Name</t>
  </si>
  <si>
    <t>ANS=(Rec 1) Service Type 2</t>
  </si>
  <si>
    <t>ANS=(Rec 1) DNS 1</t>
  </si>
  <si>
    <t>ANS=(Rec 1) DNS 2</t>
  </si>
  <si>
    <t>ANS=(Rec 1) CSD Number 1</t>
  </si>
  <si>
    <t>ANS=(Rec 1) CSD Number 2</t>
  </si>
  <si>
    <t>ANS=(Rec 2) Access</t>
  </si>
  <si>
    <t>ANS=(Rec 2) Home Page</t>
  </si>
  <si>
    <t>ANS=(Rec 2) Gateway IP1</t>
  </si>
  <si>
    <t>ANS=(Rec 2) Port 1</t>
  </si>
  <si>
    <t>ANS=(Rec 2) Domain 1 Name</t>
  </si>
  <si>
    <t>ANS=(Rec 2) Service Type 1</t>
  </si>
  <si>
    <t>DL_DB_FEATURE_ID_ANALOG_CLOCK_LOOK</t>
  </si>
  <si>
    <t>24h</t>
  </si>
  <si>
    <t>dd-mm-yy</t>
  </si>
  <si>
    <t>The PLNMs are in Hex, the feature Ids are:
FLEX_SUBSIDY_LOCK_GSM_HPLMN_LIST_01
FLEX_SUBSIDY_LOCK_GSM_HPLMN_LIST_02
FLEX_SUBSIDY_LOCK_GSM_HPLMN_LIST_03
Etc..
The Values for these are (example):
0x27,0xF4,0x50 -&gt; 724-05 (for 5 digits, use This format)
0x43,0x02,0x57 -&gt; 342-750 (For 6 digits, use this format)
Use the SIM card of some differente carriers to see if it's locking them</t>
  </si>
  <si>
    <t>try sending an SMS with accented characters
or
DL_DB_FEATURE_ID_UNICODE_MOSMS_AVAILABLE
0 – Off
1 – On</t>
  </si>
  <si>
    <t>DL_DB_FEATURE_ID_BROWSER_PLACE_CSD_DIALOG_AVAILABLE
0 – Off
1 – On</t>
  </si>
  <si>
    <t>DL_DB_FEATURE_ID_BROWSER_SERVICE_STATE
0x00 – Off
0x01 – On</t>
  </si>
  <si>
    <t>DL_DB_FEATURE_ID_GPRS_IDLE_TIMEOUT</t>
  </si>
  <si>
    <r>
      <t xml:space="preserve">Yes: </t>
    </r>
    <r>
      <rPr>
        <sz val="10"/>
        <rFont val="Arial"/>
        <family val="2"/>
      </rPr>
      <t xml:space="preserve">This is the default session
</t>
    </r>
    <r>
      <rPr>
        <b/>
        <sz val="10"/>
        <rFont val="Arial"/>
        <family val="2"/>
      </rPr>
      <t xml:space="preserve">No: </t>
    </r>
    <r>
      <rPr>
        <sz val="10"/>
        <rFont val="Arial"/>
        <family val="2"/>
      </rPr>
      <t>This is not the default session</t>
    </r>
  </si>
  <si>
    <t>MENU -&gt; WebAccess -&gt; Web Sessions
The selected one is the default</t>
  </si>
  <si>
    <t>DL_DB_FEATURE_ID_SMS_READ_RECEIPT_AVAILABLE
1 - On
0 - Off</t>
  </si>
  <si>
    <t>CUSTOMER ITEM</t>
  </si>
  <si>
    <t>VALUE</t>
  </si>
  <si>
    <t>COMMAND</t>
  </si>
  <si>
    <t>HEXIN</t>
  </si>
  <si>
    <t>FUNCTION</t>
  </si>
  <si>
    <t>Token String</t>
  </si>
  <si>
    <t>Feature ID</t>
  </si>
  <si>
    <t>Category (Customer, Product, Platform)</t>
  </si>
  <si>
    <t>DEFINE_MA</t>
  </si>
  <si>
    <t>GSMP2K</t>
  </si>
  <si>
    <t>DEFINE_MODEL</t>
  </si>
  <si>
    <t>DEFINE_FILESEARCH</t>
  </si>
  <si>
    <t>HEADER</t>
  </si>
  <si>
    <t>VERSION</t>
  </si>
  <si>
    <t>FFFF</t>
  </si>
  <si>
    <t>Telefone para o meu escritório.</t>
  </si>
  <si>
    <t>Qual e o seu número?</t>
  </si>
  <si>
    <t>Já estou aqui.</t>
  </si>
  <si>
    <t>Onde voce está?</t>
  </si>
  <si>
    <t>Maximum size in kB for sending and receiving MMS</t>
  </si>
  <si>
    <t>Menu -&gt; Messages -&gt; Quick Notes
The available quick notes are:
Portuguese:
a. Ligue para mim.
b. Telefone para minha casa.
c. Telefone para o meu escritorio.
d. Estou ocupado.
e. Chamarei mais tarde.
f. Qual e o seu numero?
g. Estou a caminho.
h. Ja estou aqui.
i. Onde voce esta?
j. Obrigado
English:
a. Yes
b. Where are you?
c. Will call later
d. No
e. Call me
f. Need directions
g. Busy
h. On my way
i. Will arrive in 15 minutes
j. Thank you
k. Send # to call
l. Pick me up
m. Can this wait?
n. OK
Spanish:
a. Llamame
b. A que numero te llamo
c. Donde estas?
d. Te llamo mas tarde
e. Estoy ocupado/a
f. Ya voy en camino
g. Llego en ae minutos
h. Necesito mas informacion
i. Como llego?
j. Pasa a buscarme
Spanish for Telcel and Telefonica Mexico ONLY:
a.¿Dónde andas?
b.Hola, ¿cómo estás?
c.Háblame, me urge
d.Estoy ocupado al rato te hablo
e.Háblame cuando puedas
f.Llego más tarde
g.Recibí tu mensaje, luego te hablo
h.¿Qué estas haciendo?
i.¿A qué hora nos vemos?
French
a.Appelle-moi
b.Quand peut-on se voir?
c.Où es-tu?
d.Quand commence le rendezvous?
e.On se voit plus tard
f.Quelles sont tes coordonnées?
g.Je serai en retard
h.Je suis arrivé(e).
i.Je suis en réunion - Je te rapelle
j.Merci beaucoup!</t>
  </si>
  <si>
    <t>Hex2ASCII</t>
  </si>
  <si>
    <t>StartByte=5</t>
  </si>
  <si>
    <t>Flex File</t>
  </si>
  <si>
    <t>&lt;MANUAL&gt;</t>
  </si>
  <si>
    <t>RDELEM</t>
  </si>
  <si>
    <t>017F000100000028</t>
  </si>
  <si>
    <t>EscapeCharHex=2D</t>
  </si>
  <si>
    <t>0004</t>
  </si>
  <si>
    <t>AsIs</t>
  </si>
  <si>
    <t>StartPosition=3|Length=4</t>
  </si>
  <si>
    <t>KJAVA Flex Version</t>
  </si>
  <si>
    <t>GetAnswer</t>
  </si>
  <si>
    <t>ANS=KJAVA Flex Version</t>
  </si>
  <si>
    <t>PDS Version</t>
  </si>
  <si>
    <t>FeatureId=542|IfSetDisplay=On|IfNotSetDisplay=Off</t>
  </si>
  <si>
    <t>FeatureId=541|IfSetDisplay=On|IfNotSetDisplay=Off</t>
  </si>
  <si>
    <t>02D4000100000000</t>
  </si>
  <si>
    <t>BytesPerData=1|IfDataIsNullDisplay=None Entered</t>
  </si>
  <si>
    <t>DRM Label</t>
  </si>
  <si>
    <t>GsmDrmLabel</t>
  </si>
  <si>
    <t>Current language</t>
  </si>
  <si>
    <t>Menu -&gt; Settings -&gt; Phone Status -&gt; Other Information -&gt; S/W Version or RadioComm</t>
  </si>
  <si>
    <t>Menu -&gt; Settings -&gt; Phone Status -&gt; Other Information -&gt; Language List or RadioComm</t>
  </si>
  <si>
    <t>RadioComm</t>
  </si>
  <si>
    <t>Juan Sosa</t>
  </si>
  <si>
    <t>All</t>
  </si>
  <si>
    <t>NA</t>
  </si>
  <si>
    <t>Initial Creation</t>
  </si>
  <si>
    <t>Hyperactive</t>
  </si>
  <si>
    <t>Menu -&gt; Settings -&gt; Phone Status -&gt; Other Information -&gt; Flex Version</t>
  </si>
  <si>
    <t>SEEM_EMERGENCY_NUMBERS</t>
  </si>
  <si>
    <t>Menu -&gt; Settings -&gt; Phone Status -&gt; Other Information -&gt; Technology</t>
  </si>
  <si>
    <t>Menu -&gt; Settings -&gt; Phone Status -&gt; Voice Dial Languages or RadioComm</t>
  </si>
  <si>
    <t>Portuguese</t>
  </si>
  <si>
    <t>English</t>
  </si>
  <si>
    <t>WAP Shorcut 1 Name</t>
  </si>
  <si>
    <t>WAP Shorcut 1 URL</t>
  </si>
  <si>
    <t>WAP Shorcut 2 URL</t>
  </si>
  <si>
    <t>WAP Shorcut 2 Name</t>
  </si>
  <si>
    <t>(Rec 3) CSD Line Type 2</t>
  </si>
  <si>
    <t>ANS=(Rec 3) CSD Line Type 2</t>
  </si>
  <si>
    <t>(Rec 3) GPRS APN</t>
  </si>
  <si>
    <t>ANS=(Rec 3) GPRS APN</t>
  </si>
  <si>
    <t>(Rec 3) GPRS User Name</t>
  </si>
  <si>
    <t>ANS=(Rec 3) GPRS User Name</t>
  </si>
  <si>
    <t>(Rec 3) GPRS Password</t>
  </si>
  <si>
    <t>MENU -&gt; Settings -&gt; Ring Styles -&gt; ... Detail</t>
  </si>
  <si>
    <t>MENU -&gt; Settings -&gt; Initial Setup -&gt; 1-Touch Dial
or
DL_DB_FEATURE_ID_CURRENT_TURBO_DIAL
0x00 – From Phone
0x01 – From SIM</t>
  </si>
  <si>
    <t>Menu -&gt; Messages -&gt; Info Services -&gt; Menu -&gt; Setup -&gt; Service
or
DL_DB_FEATURE_ID_GENERAL_CELL_BROADCAST
0x00 – Off
0x01 – On</t>
  </si>
  <si>
    <t>Menu -&gt; Messages -&gt; Info Services -&gt; Menu -&gt; Setup -&gt; Quick View
or
DL_DB_FEATURE_ID_BROADCAST_QUICK_VIEW_CHANNEL</t>
  </si>
  <si>
    <t>Menu -&gt; Messages -&gt; Info Services -&gt; Menu -&gt; Setup -&gt; Save Quick View
or
DL_DB_FEATURE_ID_SAVE_QUICK_VIEW_MESSAGE
0x00 – No
0x01 – Yes</t>
  </si>
  <si>
    <t>Menu -&gt; Messages -&gt; Menu -&gt; Inbox Setup -&gt; MMS Message Setup -&gt; Server Info -&gt; MMS Profile -&gt; Menu -&gt; Edit -&gt; Server Name</t>
  </si>
  <si>
    <t>Menu -&gt; Messages -&gt; Menu -&gt; Inbox Setup -&gt; MMS Message Setup -&gt; Server Info -&gt; MMS Profile -&gt; Menu -&gt; Edit -&gt; Service Name</t>
  </si>
  <si>
    <t>###### PTT Settings #######################</t>
  </si>
  <si>
    <t>00=No|01=No|02=Yes|03=No|04=No|05=No|06=No|07=No|08=No|09=No|0A=No</t>
  </si>
  <si>
    <t>00=No|01=No|02=No|03=Yes|04=No|05=No|06=No|07=No|08=No|09=No|0A=No</t>
  </si>
  <si>
    <t>00=No|01=No|02=No|03=No|04=Yes|05=No|06=No|07=No|08=No|09=No|0A=No</t>
  </si>
  <si>
    <t>00=No|01=No|02=No|03=No|04=No|05=Yes|06=No|07=No|08=No|09=No|0A=No</t>
  </si>
  <si>
    <t>00=No|01=No|02=No|03=No|04=No|05=No|06=Yes|07=No|08=No|09=No|0A=No</t>
  </si>
  <si>
    <t>00=No|01=No|02=No|03=No|04=No|05=No|06=No|07=Yes|08=No|09=No|0A=No</t>
  </si>
  <si>
    <t>00=No|01=No|02=No|03=No|04=No|05=No|06=No|07=No|08=Yes|09=No|0A=No</t>
  </si>
  <si>
    <t>00=No|01=No|02=No|03=No|04=No|05=No|06=No|07=No|08=No|09=Yes|0A=No</t>
  </si>
  <si>
    <t>DL_DB_FEATURE_ID_PRIMARY_MESSAGE_METHOD</t>
  </si>
  <si>
    <t>DL_DB_FEATURE_ID_SECONDARY_MESSAGE_METHOD</t>
  </si>
  <si>
    <t>DL_DB_FEATURE_ID_GENERAL_CELL_BROADCAST</t>
  </si>
  <si>
    <t>DL_DB_FEATURE_ID_BROADCAST_QUICK_VIEW_CHANNEL</t>
  </si>
  <si>
    <t>DL_DB_FEATURE_ID_SAVE_QUICK_VIEW_MESSAGE</t>
  </si>
  <si>
    <t>DL_DB_FEATURE_ID_SMS_READ_RECEIPT_AVAILABLE</t>
  </si>
  <si>
    <t>DL_DB_FEATURE_ID_MMS_DOWNLOAD_SIZE_LIMIT</t>
  </si>
  <si>
    <t>Phone number assigned to the SMS to email gateway</t>
  </si>
  <si>
    <t>004A0001000A0001</t>
  </si>
  <si>
    <t>Band Capability</t>
  </si>
  <si>
    <t>0025000100000000</t>
  </si>
  <si>
    <t>RingStyle</t>
  </si>
  <si>
    <t>BytesPerData=1|ByteSwap=True</t>
  </si>
  <si>
    <t>PLNM 13</t>
  </si>
  <si>
    <t>Menu &gt;&gt; WebAccess &gt;&gt; Web Shortcuts &gt;&gt; select one shortcut then press Menu &gt;&gt; Edit &gt;&gt; Name or URL
or
Menu &gt;&gt; WebAccess &gt;&gt; Web Shortcuts &gt;&gt; select one shortcut and acess it
there will appear a "Network Not Available" screen, then press:
Menu &gt;&gt; View URL</t>
  </si>
  <si>
    <t>Feature Description</t>
  </si>
  <si>
    <t>DL_DB_FEATURE_ID_DEFAULT_LANGUAGE</t>
  </si>
  <si>
    <t>DL_DB_FEATURE_ID_CURRENT_TIME_FORMAT</t>
  </si>
  <si>
    <t>DL_DB_FEATURE_ID_CURRENT_DATE_FORMAT</t>
  </si>
  <si>
    <t>DL_DB_FEATURE_ID_CURRENT_DTMF_SETTING</t>
  </si>
  <si>
    <t>DL_DB_FEATURE_ID_MULTI_KEY_ANSWER</t>
  </si>
  <si>
    <t>DL_DB_FEATURE_ID_VOICEMAIL_KEY_AVAILABLE</t>
  </si>
  <si>
    <t>DL_DB_FEATURE_ID_PHONE_NUMBER_DISPLAY_FORMAT</t>
  </si>
  <si>
    <t>DL_DB_FEATURE_ID_DIGITAL_TTY_AVAILABLE</t>
  </si>
  <si>
    <t>SEEM_VOICE_MAIL_NUMBER</t>
  </si>
  <si>
    <t>Last Band Selected</t>
  </si>
  <si>
    <t>(Rec 1) Timeout</t>
  </si>
  <si>
    <t>ANS=(Rec 1) Timeout</t>
  </si>
  <si>
    <t>(Rec 1) CSD User Name 1</t>
  </si>
  <si>
    <t>FALSE</t>
  </si>
  <si>
    <t>Motorola PFE Contact</t>
  </si>
  <si>
    <t>Off</t>
  </si>
  <si>
    <t>Item 6</t>
  </si>
  <si>
    <t>TAP Current Language</t>
  </si>
  <si>
    <t>00=ITAP English|01=ITAP French|02=ITAP Spanish|03=ITAP Portuguese|04=TAP Current Language|05=TAP Extended</t>
  </si>
  <si>
    <t>VoiceDial</t>
  </si>
  <si>
    <t>If ON, autho hyphenation will be enabled. For example: 1234-567-890</t>
  </si>
  <si>
    <t>This feature allows the phone to be used as a modem for devices designed for hearing empaired people.</t>
  </si>
  <si>
    <t>Voice Mail Number</t>
  </si>
  <si>
    <t>Item 5</t>
  </si>
  <si>
    <t>SMS to email gateway</t>
  </si>
  <si>
    <t>Primary Input Method for SMS</t>
  </si>
  <si>
    <t>Item 7</t>
  </si>
  <si>
    <t>The phone will display the time in any of these formats:
12H: For example 12:00am
24H: For example 00:00</t>
  </si>
  <si>
    <t>dd-mmm-yy: 30-Aug-03
dd-mm-yy: 30-08-03
mm-dd-yy: 08-30-03</t>
  </si>
  <si>
    <t>Available Functions</t>
  </si>
  <si>
    <t>Digital</t>
  </si>
  <si>
    <t>The phone includes two emergency numbers as default: 911 and 112 (only for GSM). In addition, one extra number can be added. The number added here will be signaled as per specifications for emergency numbers.</t>
  </si>
  <si>
    <t>GSM specific Features / Settings</t>
  </si>
  <si>
    <t>TAP Extended</t>
  </si>
  <si>
    <t>Network Setup &gt; GSM Region</t>
  </si>
  <si>
    <t>004A000100700001</t>
  </si>
  <si>
    <t>00=Automatic|01=US Band|02=Euro Band</t>
  </si>
  <si>
    <t>DL_DB_FEATURE_ID_NETWORK_SETUP_GSM_REGION</t>
  </si>
  <si>
    <t>Network Setup GSM Region Automatic Available</t>
  </si>
  <si>
    <t>DL_DB_FEATURE_ID_NETWORK_SETUP_GSM_REGION_AUTOMATIC_AVAILABLE</t>
  </si>
  <si>
    <t>Network Setup GSM Region Available</t>
  </si>
  <si>
    <t>DL_DB_FEATURE_ID_NETWORK_SETUP_GSM_REGION_AVAILABLE</t>
  </si>
  <si>
    <t>This is the default selected input method for composing text messages</t>
  </si>
  <si>
    <t>This is the secondary input method for composing text messages</t>
  </si>
  <si>
    <t>0x03</t>
  </si>
  <si>
    <t>If CPHS is ON and the SIM Card has stored the VM number, the phone will read this value from the SIM Card. If the two previous conditions are false, the phone will display the number set in this field.</t>
  </si>
  <si>
    <t>(Rec 10) Port 2</t>
  </si>
  <si>
    <t>(Rec 10) Domain 2 Name</t>
  </si>
  <si>
    <t>(Rec 10) Service Type 2</t>
  </si>
  <si>
    <t>(Rec 10) DNS 1</t>
  </si>
  <si>
    <t>(Rec 10) DNS 2</t>
  </si>
  <si>
    <t>(Rec 10) Timeout</t>
  </si>
  <si>
    <t>(Rec 10) CSD Number 1</t>
  </si>
  <si>
    <t>(Rec 10) CSD User Name 1</t>
  </si>
  <si>
    <t>(Rec 10) CSD Password 1</t>
  </si>
  <si>
    <t>(Rec 10) CSD Speed 1</t>
  </si>
  <si>
    <t>(Rec 10) CSD Line Type 1</t>
  </si>
  <si>
    <t>(Rec 10) CSD Number 2</t>
  </si>
  <si>
    <t>(Rec 10) CSD User Name 2</t>
  </si>
  <si>
    <t>DL_DB_FEATURE_ID_WEB_SESSIONS_DEFAULT_INDEX</t>
  </si>
  <si>
    <t>ANS=(Rec 1) CSD User Name 1</t>
  </si>
  <si>
    <t>(Rec 1) CSD Password 1</t>
  </si>
  <si>
    <t>ANS=(Rec 1) CSD Password 1</t>
  </si>
  <si>
    <t>(Rec 1) CSD Speed 1</t>
  </si>
  <si>
    <t>ANS=(Rec 1) CSD Speed 1</t>
  </si>
  <si>
    <t>(Rec 1) CSD Line Type 1</t>
  </si>
  <si>
    <t>ANS=(Rec 1) CSD Line Type 1</t>
  </si>
  <si>
    <t>(Rec 1) CSD User Name 2</t>
  </si>
  <si>
    <t>DL_DB_FEATURE_ID_MMS_SIZE_LIMIT
0x00000000 - none
0x0004B000 - 300Kb
0x00019000 - 100Kb</t>
  </si>
  <si>
    <t>ANS=(Rec 1) CSD User Name 2</t>
  </si>
  <si>
    <t>Available Commands</t>
  </si>
  <si>
    <t>FSAC</t>
  </si>
  <si>
    <t>Hex2Bin</t>
  </si>
  <si>
    <t>SBSDY_LCK</t>
  </si>
  <si>
    <t>Languages</t>
  </si>
  <si>
    <t>LittleEndianHex2Dec</t>
  </si>
  <si>
    <t>MENU -&gt; Settings -&gt; Ring Styles -&gt; Style</t>
  </si>
  <si>
    <t>Turn on the phone. The power up graphic will be the first image to appear after Motorola banner.</t>
  </si>
  <si>
    <t>To set Last Band Selected (DL_DB_FEATURE_ID_LAST_BAND_SELECTED )</t>
  </si>
  <si>
    <t>Turn down the phone. Goodbye Graphic will be the last image to appear.</t>
  </si>
  <si>
    <t>GSM 900/1800</t>
  </si>
  <si>
    <t>Quad-Band GSM</t>
  </si>
  <si>
    <t>DL_DB_FEATURE_ID_EMS_ALLOW_FWD_CONTENTS_AVAILABLE</t>
  </si>
  <si>
    <t>DL_DB_FEATURE_ID_UNICODE_MOSMS_AVAILABLE</t>
  </si>
  <si>
    <t>SEEM_EMAIL_GATEWAY_MIN</t>
  </si>
  <si>
    <t>DL_DB_FEATURE_ID_GPRS_STATUS_STRING</t>
  </si>
  <si>
    <t>DL_DB_FEATURE_ID_EMERGENCY_NUMBER</t>
  </si>
  <si>
    <t xml:space="preserve">DL_DB_FEATURE_ID_ANALOG_CLOCK_LOOK </t>
  </si>
  <si>
    <t xml:space="preserve">DL_DB_FEATURE_ID_ACTIVE_ALERT_TYPE </t>
  </si>
  <si>
    <t xml:space="preserve">DL_DB_FEATURE_ID_STK_DISPLAY_TEXT_TIMEOUT_TIME </t>
  </si>
  <si>
    <t>SEEM_MMS_SERVER_URI</t>
  </si>
  <si>
    <t xml:space="preserve">DL_DB_FEATURE_ID_MMS_SIZE_LIMIT </t>
  </si>
  <si>
    <t>FLEX_SUBSIDY_LOCK_GSM_RETRY_LEFT</t>
  </si>
  <si>
    <t>FLEX_SUBSIDY_LOCK_GSM_PRIMARY_FACTORY_LOCK_TYPE</t>
  </si>
  <si>
    <t>PLNM 1</t>
  </si>
  <si>
    <t>015B000100000000</t>
  </si>
  <si>
    <t>StartPosition=1|Length=6</t>
  </si>
  <si>
    <t>PLNM 2</t>
  </si>
  <si>
    <t>StartPosition=7|Length=6</t>
  </si>
  <si>
    <t>PLNM 3</t>
  </si>
  <si>
    <t>StartPosition=13|Length=6</t>
  </si>
  <si>
    <t>PLNM 4</t>
  </si>
  <si>
    <t>StartPosition=19|Length=6</t>
  </si>
  <si>
    <t>PLNM 5</t>
  </si>
  <si>
    <t>StartPosition=25|Length=6</t>
  </si>
  <si>
    <t>PLNM 6</t>
  </si>
  <si>
    <t>StartPosition=31|Length=6</t>
  </si>
  <si>
    <t>PLNM 7</t>
  </si>
  <si>
    <t>StartPosition=37|Length=6</t>
  </si>
  <si>
    <t>ByteSwap=False|BytesPerData=4</t>
  </si>
  <si>
    <t>(Rec 1) Set As Default</t>
  </si>
  <si>
    <t>(Rec 2) Set As Default</t>
  </si>
  <si>
    <t>(Rec 6) Set As Default</t>
  </si>
  <si>
    <t>(Rec 5) Set As Default</t>
  </si>
  <si>
    <t>(Rec 4) Set As Default</t>
  </si>
  <si>
    <t>(Rec 3) Set As Default</t>
  </si>
  <si>
    <t>PLNM 8</t>
  </si>
  <si>
    <t>StartPosition=43|Length=6</t>
  </si>
  <si>
    <t>PLNM 9</t>
  </si>
  <si>
    <t>StartPosition=49|Length=6</t>
  </si>
  <si>
    <t>PLNM 10</t>
  </si>
  <si>
    <t>StartPosition=55|Length=6</t>
  </si>
  <si>
    <t>PLNM 11</t>
  </si>
  <si>
    <t>0171000100000000</t>
  </si>
  <si>
    <t>BytesPerData=2|ByteSwap=FALSE|EscapeCharHex=FFFF</t>
  </si>
  <si>
    <t>Power up Graphic</t>
  </si>
  <si>
    <t>Goodbye Graphic</t>
  </si>
  <si>
    <t>Wallpaper</t>
  </si>
  <si>
    <t>Screen Saver</t>
  </si>
  <si>
    <t>00=Loud|01=Soft|02=Vibrate|03=Ring than Vibrate|04=Silent|05=Ring &amp; Vibrate</t>
  </si>
  <si>
    <t>018D000100000000</t>
  </si>
  <si>
    <t>A20</t>
  </si>
  <si>
    <t>DecAndHex</t>
  </si>
  <si>
    <t>Press the number “1” key for a few seconds. The feature is enabled if the phone shows “Calling voice Mail”
or
DL_DB_FEATURE_ID_VOICEMAIL_KEY_AVAILABLE
0 – Off
1 – On</t>
  </si>
  <si>
    <t>filename.csv</t>
  </si>
  <si>
    <t>Dial a number on the Phone. The feature will be enabled if Hyphens are shown on the screen.
or
DL_DB_FEATURE_ID_PHONE_NUMBER_DISPLAY_FORMAT
0x00 – Enabled
0x01 – Disabled</t>
  </si>
  <si>
    <t>DL_DB_FEATURE_ID_DUAL_LINE_PHONE_AVAILABLE
0 – Off
1 – On</t>
  </si>
  <si>
    <t>DL_DB_FEATURE_ID_AUTOMATIC_PIN_UNBLOCK_AVAILABLE
0 – Off
1 – On</t>
  </si>
  <si>
    <t>Turn on the phone before insert the SIM card and see in which language the message "Insert SIM card" is
or
MENU -&gt; Settings -&gt; Initial Setup -&gt; Language
or
DL_DB_FEATURE_ID_DEFAULT_LANGUAGE
DL_DB_FEATURE_ID_CURRENT_LANGUAGE
0x0000002A – Brazilian Portuguese
0x0000000E – American / Columbian Spanish
0x00000001 – American English
0x0000000D – French</t>
  </si>
  <si>
    <t>Quick Notes language</t>
  </si>
  <si>
    <t>DL_DB_FEATURE_ID_BROWSER_ADDITIONAL_CHARGE_PMPT_AVAILABLE</t>
  </si>
  <si>
    <t>SEEM_MMS_SERVER_INFO</t>
  </si>
  <si>
    <t>0078000100000000</t>
  </si>
  <si>
    <t>850/1900</t>
  </si>
  <si>
    <t>900/1800</t>
  </si>
  <si>
    <t>00=1800|01=900|02=1900|03=900/1800|04=850/1900</t>
  </si>
  <si>
    <t>FeatureId=253|IfSetDisplay=On|IfNotSetDisplay=Off</t>
  </si>
  <si>
    <t>FeatureId=692|IfSetDisplay=On|IfNotSetDisplay=Off</t>
  </si>
  <si>
    <t>FeatureId=519|IfSetDisplay=On|IfNotSetDisplay=Off</t>
  </si>
  <si>
    <t>FeatureId=535|IfSetDisplay=On|IfNotSetDisplay=Off</t>
  </si>
  <si>
    <t>FeatureId=509|IfSetDisplay=On|IfNotSetDisplay=Off</t>
  </si>
  <si>
    <t>FeatureId=490|IfSetDisplay=On|IfNotSetDisplay=Off</t>
  </si>
  <si>
    <t>FeatureId=121|IfSetDisplay=On|IfNotSetDisplay=Off</t>
  </si>
  <si>
    <t>FeatureId=193|IfSetDisplay=On|IfNotSetDisplay=Off</t>
  </si>
  <si>
    <t>FeatureId=118|IfSetDisplay=On|IfNotSetDisplay=Off</t>
  </si>
  <si>
    <t>FeatureId=119|IfSetDisplay=On|IfNotSetDisplay=Off</t>
  </si>
  <si>
    <t>FeatureId=641|IfSetDisplay=On|IfNotSetDisplay=Off</t>
  </si>
  <si>
    <t>FeatureId=117|IfSetDisplay=On|IfNotSetDisplay=Off</t>
  </si>
  <si>
    <t>FeatureId=572|IfSetDisplay=On|IfNotSetDisplay=Off</t>
  </si>
  <si>
    <t>00=On|01=Off</t>
  </si>
  <si>
    <t>12h</t>
  </si>
  <si>
    <t>dd-mmm-yy</t>
  </si>
  <si>
    <t>Short</t>
  </si>
  <si>
    <t>mm-dd-yy</t>
  </si>
  <si>
    <t>Analog</t>
  </si>
  <si>
    <t>PTT</t>
  </si>
  <si>
    <t>From Phone</t>
  </si>
  <si>
    <t>Fast</t>
  </si>
  <si>
    <t>Slow</t>
  </si>
  <si>
    <t>ITAP Spanish</t>
  </si>
  <si>
    <t>ITAP Portuguese</t>
  </si>
  <si>
    <t>ITAP English</t>
  </si>
  <si>
    <t>100K</t>
  </si>
  <si>
    <t>300K</t>
  </si>
  <si>
    <t>00=12h|01=24h</t>
  </si>
  <si>
    <t>02=dd-mmm-yy|01=dd-mm-yy|00=mm-dd-yy</t>
  </si>
  <si>
    <t>01=Analog|00=Digital</t>
  </si>
  <si>
    <t>01=From SIM|00=From Phone</t>
  </si>
  <si>
    <t>00=Continuos|01=Medium|02=Slow|03=Fast</t>
  </si>
  <si>
    <t>CSD Timeout (seconds)</t>
  </si>
  <si>
    <t>MENU -&gt; Settings -&gt; Personalize -&gt; Home Screen -&gt; Home Keys -&gt; Left Soft Key</t>
  </si>
  <si>
    <t>MENU -&gt; Settings -&gt; Personalize -&gt; Home Screen -&gt; Home Keys -&gt; Right Soft Key</t>
  </si>
  <si>
    <t>MENU -&gt; Settings -&gt; Personalize -&gt; Home Screen -&gt; Home Keys -&gt; Smart Key</t>
  </si>
  <si>
    <t>ANS=(Rec 7) Gateway IP2</t>
  </si>
  <si>
    <t>ANS=(Rec 7) Port 2</t>
  </si>
  <si>
    <t>ANS=(Rec 7) Domain 2 Name</t>
  </si>
  <si>
    <t>ANS=(Rec 7) Service Type 2</t>
  </si>
  <si>
    <t>ANS=(Rec 7) DNS 1</t>
  </si>
  <si>
    <t>ANS=(Rec 7) DNS 2</t>
  </si>
  <si>
    <t>ANS=(Rec 7) Timeout</t>
  </si>
  <si>
    <t>ANS=(Rec 7) CSD Number 1</t>
  </si>
  <si>
    <t>ANS=(Rec 7) CSD User Name 1</t>
  </si>
  <si>
    <t>ANS=(Rec 7) CSD Password 1</t>
  </si>
  <si>
    <t>ANS=(Rec 7) CSD Speed 1</t>
  </si>
  <si>
    <t>ANS=(Rec 7) CSD Line Type 1</t>
  </si>
  <si>
    <t>ANS=(Rec 7) CSD Number 2</t>
  </si>
  <si>
    <t>ANS=(Rec 7) CSD User Name 2</t>
  </si>
  <si>
    <t>ANS=(Rec 7) CSD Password 2</t>
  </si>
  <si>
    <t>ANS=(Rec 7) CSD Speed 2</t>
  </si>
  <si>
    <t>ANS=(Rec 7) CSD Line Type 2</t>
  </si>
  <si>
    <t>ANS=(Rec 7) GPRS APN</t>
  </si>
  <si>
    <t>ANS=(Rec 7) GPRS User Name</t>
  </si>
  <si>
    <t>ANS=(Rec 7) GPRS Password</t>
  </si>
  <si>
    <t>(Rec 10) CSD Password 2</t>
  </si>
  <si>
    <t>(Rec 10) CSD Speed 2</t>
  </si>
  <si>
    <t>(Rec 10) CSD Line Type 2</t>
  </si>
  <si>
    <t>(Rec 10) GPRS APN</t>
  </si>
  <si>
    <t>(Rec 10) GPRS User Name</t>
  </si>
  <si>
    <t>(Rec 10) GPRS Password</t>
  </si>
  <si>
    <t>ANS=(Rec 10) Access</t>
  </si>
  <si>
    <t>ANS=(Rec 10) User Session Name</t>
  </si>
  <si>
    <t>ANS=(Rec 10) Home Page</t>
  </si>
  <si>
    <t>ANS=(Rec 10) Gateway IP1</t>
  </si>
  <si>
    <t>ANS=(Rec 10) Port 1</t>
  </si>
  <si>
    <t>ANS=(Rec 10) Domain 1 Name</t>
  </si>
  <si>
    <t>ANS=(Rec 10) Service Type 1</t>
  </si>
  <si>
    <t>ANS=(Rec 10) Gateway IP2</t>
  </si>
  <si>
    <t>ANS=(Rec 10) Port 2</t>
  </si>
  <si>
    <t>ANS=(Rec 10) Domain 2 Name</t>
  </si>
  <si>
    <t>ANS=(Rec 10) Service Type 2</t>
  </si>
  <si>
    <t>ANS=(Rec 10) DNS 1</t>
  </si>
  <si>
    <t>ANS=(Rec 10) DNS 2</t>
  </si>
  <si>
    <t>ANS=(Rec 10) Timeout</t>
  </si>
  <si>
    <t>ANS=(Rec 10) CSD Number 1</t>
  </si>
  <si>
    <t>ANS=(Rec 10) CSD User Name 1</t>
  </si>
  <si>
    <t>ANS=(Rec 10) CSD Password 1</t>
  </si>
  <si>
    <t>ANS=(Rec 10) CSD Speed 1</t>
  </si>
  <si>
    <t>ANS=(Rec 10) CSD Line Type 1</t>
  </si>
  <si>
    <t>ANS=(Rec 10) CSD Number 2</t>
  </si>
  <si>
    <t>ANS=(Rec 10) CSD User Name 2</t>
  </si>
  <si>
    <t>ANS=(Rec 10) CSD Password 2</t>
  </si>
  <si>
    <t>ANS=(Rec 10) CSD Speed 2</t>
  </si>
  <si>
    <t>ANS=(Rec 10) CSD Line Type 2</t>
  </si>
  <si>
    <t>ANS=(Rec 10) GPRS APN</t>
  </si>
  <si>
    <t>ANS=(Rec 10) GPRS User Name</t>
  </si>
  <si>
    <t>ANS=(Rec 10) GPRS Password</t>
  </si>
  <si>
    <t>004E000101970001</t>
  </si>
  <si>
    <t>00=No|01=No|02=No|03=No|04=No|05=No|06=No|07=No|08=No|09=No|0A=Yes</t>
  </si>
  <si>
    <t>00=No|01=Yes|02=No|03=No|04=No|05=No|06=No|07=No|08=No|09=No|0A=No</t>
  </si>
  <si>
    <t>01C50001000C0004</t>
  </si>
  <si>
    <t>01C5000100100004</t>
  </si>
  <si>
    <t>Subsidy Lock Type</t>
  </si>
  <si>
    <t>01C3000100030001</t>
  </si>
  <si>
    <t>WAP Shorcut 3 Name</t>
  </si>
  <si>
    <t>WAP Shorcut 3 URL</t>
  </si>
  <si>
    <t>WAP Shorcut 4 Name</t>
  </si>
  <si>
    <t>WAP Shorcut 4 URL</t>
  </si>
  <si>
    <t>Power Down Graphic</t>
  </si>
  <si>
    <t>Power Up Graphic</t>
  </si>
  <si>
    <t>Default Ringtone</t>
  </si>
  <si>
    <t>Default Wallpaper</t>
  </si>
  <si>
    <t>Default Screen Saver</t>
  </si>
  <si>
    <t>Menu -&gt; Settings -&gt; Network -&gt; Network Setup -&gt; Speed
or
DL_DB_FEATURE_ID_NETWORK_SEARCH_FREQUENCY
0x00 – Continuous
0x00 - Continuos
0x01 - Medium
0x02 - Slow
0x03 - Fast</t>
  </si>
  <si>
    <t>004A000101180001</t>
  </si>
  <si>
    <t>004E000100600004</t>
  </si>
  <si>
    <t>004A000100200001</t>
  </si>
  <si>
    <t>00=Off|01=On</t>
  </si>
  <si>
    <t>025E000100000000</t>
  </si>
  <si>
    <t>Off: No DTMF tones transmited                                                                                                                                                                                                                        Long: Long DTMF tones transmited
Short: Short DTMF tones transmited</t>
  </si>
  <si>
    <t xml:space="preserve">
On: The user can answer an incoming call by pressing any key
Off: The user can only answer an incoming call by pressing SEND.</t>
  </si>
  <si>
    <t>On: The key number 1 will be used as a quick dial for the voice mail.
Off: The key number 1 will be used as a quick dial for the phone stored on the first memory position.</t>
  </si>
  <si>
    <t>Spanish</t>
  </si>
  <si>
    <t>Long</t>
  </si>
  <si>
    <t>0x01</t>
  </si>
  <si>
    <t>0x00</t>
  </si>
  <si>
    <t>Camera</t>
  </si>
  <si>
    <t>Customer File Name</t>
  </si>
  <si>
    <t>Customer File Attachment</t>
  </si>
  <si>
    <t>none</t>
  </si>
  <si>
    <t>Unicode Mobile Originated SMS</t>
  </si>
  <si>
    <t>On: The phone will use Unicode for sending SMS. This allows to send special characters as á, ñ, etc. but reduces the number of characters allowed per SMS.
Off: The phone will send the SMS without special characters.</t>
  </si>
  <si>
    <t>Motorola Default (Theme Moto)</t>
  </si>
  <si>
    <t>Ring Style</t>
  </si>
  <si>
    <t>Loud</t>
  </si>
  <si>
    <t>DL_DB_FEATURE_ID_SIMTK_USER_RESPONSE_TIMEOUT</t>
  </si>
  <si>
    <t>base</t>
  </si>
  <si>
    <t xml:space="preserve">) </t>
  </si>
  <si>
    <t>Options: Loud, Soft, Vibrate, Vibe &amp; Ring, Vibe then Ring, Silent</t>
  </si>
  <si>
    <t>Options: Analog / Digital</t>
  </si>
  <si>
    <t>MMS Download Size Limit</t>
  </si>
  <si>
    <t xml:space="preserve"> DL_DB_FEATURE_ID_MMS_DOWNLOAD_SIZE_LIMIT</t>
  </si>
  <si>
    <t>004E000104240004</t>
  </si>
  <si>
    <t>MENU -&gt; Settings -&gt; Personalize -&gt; Home Screen -&gt; Clock
DL_DB_FEATURE_ID_ANALOG_CLOCK_LOOK
01 - Analog
00 - Digital</t>
  </si>
  <si>
    <t>Appelle-moi</t>
  </si>
  <si>
    <t>Quand peut-on se voir?</t>
  </si>
  <si>
    <t>Où es-tu?</t>
  </si>
  <si>
    <t>Quand commence le rendezvous?</t>
  </si>
  <si>
    <t>On se voit plus tard</t>
  </si>
  <si>
    <t>Quelles sont tes coordonnées?</t>
  </si>
  <si>
    <t>Je serai en retard</t>
  </si>
  <si>
    <t>Je suis arrivé(e).</t>
  </si>
  <si>
    <t>None, Spanish, English, Portuguese, French</t>
  </si>
  <si>
    <t>Merci beaucoup!</t>
  </si>
  <si>
    <t>Je suis en réunion - Je te rapelle</t>
  </si>
  <si>
    <t>Session #7</t>
  </si>
  <si>
    <t>Session #8</t>
  </si>
  <si>
    <t>Session #9</t>
  </si>
  <si>
    <t>Session #10</t>
  </si>
  <si>
    <t>(Rec 7) Set As Default</t>
  </si>
  <si>
    <t>(Rec 7) Access</t>
  </si>
  <si>
    <t>(Rec 7) User Session Name</t>
  </si>
  <si>
    <t>(Rec 7) Home Page</t>
  </si>
  <si>
    <t>(Rec 7) Gateway IP1</t>
  </si>
  <si>
    <t>(Rec 7) Port 1</t>
  </si>
  <si>
    <t>(Rec 7) Domain 1 Name</t>
  </si>
  <si>
    <t>(Rec 7) Service Type 1</t>
  </si>
  <si>
    <t>(Rec 7) Gateway IP2</t>
  </si>
  <si>
    <t>(Rec 7) Port 2</t>
  </si>
  <si>
    <t>(Rec 7) Domain 2 Name</t>
  </si>
  <si>
    <t>(Rec 7) Service Type 2</t>
  </si>
  <si>
    <t>(Rec 7) DNS 1</t>
  </si>
  <si>
    <t>(Rec 7) DNS 2</t>
  </si>
  <si>
    <t>(Rec 7) Timeout</t>
  </si>
  <si>
    <t>(Rec 7) CSD Number 1</t>
  </si>
  <si>
    <t>(Rec 7) CSD User Name 1</t>
  </si>
  <si>
    <t>(Rec 7) CSD Password 1</t>
  </si>
  <si>
    <t>(Rec 7) CSD Speed 1</t>
  </si>
  <si>
    <t>(Rec 7) CSD Line Type 1</t>
  </si>
  <si>
    <t>(Rec 7) CSD Number 2</t>
  </si>
  <si>
    <t>(Rec 7) CSD User Name 2</t>
  </si>
  <si>
    <t>(Rec 7) CSD Password 2</t>
  </si>
  <si>
    <t>(Rec 7) CSD Speed 2</t>
  </si>
  <si>
    <t>(Rec 7) CSD Line Type 2</t>
  </si>
  <si>
    <t>(Rec 7) GPRS APN</t>
  </si>
  <si>
    <t>(Rec 7) GPRS User Name</t>
  </si>
  <si>
    <t>(Rec 7) GPRS Password</t>
  </si>
  <si>
    <t>(Rec 8) Set As Default</t>
  </si>
  <si>
    <t>(Rec 8) Access</t>
  </si>
  <si>
    <t>(Rec 8) User Session Name</t>
  </si>
  <si>
    <t>(Rec 8) Home Page</t>
  </si>
  <si>
    <t>(Rec 8) Gateway IP1</t>
  </si>
  <si>
    <t>(Rec 8) Port 1</t>
  </si>
  <si>
    <t>(Rec 8) Domain 1 Name</t>
  </si>
  <si>
    <t>(Rec 8) Service Type 1</t>
  </si>
  <si>
    <t>(Rec 8) Gateway IP2</t>
  </si>
  <si>
    <t>(Rec 8) Port 2</t>
  </si>
  <si>
    <t>(Rec 8) Domain 2 Name</t>
  </si>
  <si>
    <t>(Rec 8) Service Type 2</t>
  </si>
  <si>
    <t>(Rec 8) DNS 1</t>
  </si>
  <si>
    <t>(Rec 8) DNS 2</t>
  </si>
  <si>
    <t>(Rec 8) Timeout</t>
  </si>
  <si>
    <t>(Rec 8) CSD Number 1</t>
  </si>
  <si>
    <t>(Rec 8) CSD User Name 1</t>
  </si>
  <si>
    <t>(Rec 8) CSD Password 1</t>
  </si>
  <si>
    <t>(Rec 8) CSD Speed 1</t>
  </si>
  <si>
    <t>(Rec 8) CSD Line Type 1</t>
  </si>
  <si>
    <t>(Rec 8) CSD Number 2</t>
  </si>
  <si>
    <t>(Rec 8) CSD User Name 2</t>
  </si>
  <si>
    <t>(Rec 8) CSD Password 2</t>
  </si>
  <si>
    <t>(Rec 8) CSD Speed 2</t>
  </si>
  <si>
    <t>(Rec 8) CSD Line Type 2</t>
  </si>
  <si>
    <t>(Rec 8) GPRS APN</t>
  </si>
  <si>
    <t>(Rec 8) GPRS User Name</t>
  </si>
  <si>
    <t>(Rec 8) GPRS Password</t>
  </si>
  <si>
    <t>ANS=(Rec 7) Access</t>
  </si>
  <si>
    <t>ANS=(Rec 7) User Session Name</t>
  </si>
  <si>
    <t>ANS=(Rec 7) Home Page</t>
  </si>
  <si>
    <t>ANS=(Rec 7) Gateway IP1</t>
  </si>
  <si>
    <t>ANS=(Rec 7) Port 1</t>
  </si>
  <si>
    <t>ANS=(Rec 7) Domain 1 Name</t>
  </si>
  <si>
    <t>ANS=(Rec 7) Service Type 1</t>
  </si>
  <si>
    <t xml:space="preserve"> </t>
  </si>
  <si>
    <t>Subsidy Lock can only be validated via FDF file
FLEX_SUBSIDY_LOCK_GSM_FACTORY_MAX_RETRY</t>
  </si>
  <si>
    <t>Subsidy Lock can only be validated via FDF file
FLEX_SUBSIDY_LOCK_GSM_PENALTY_LIMIT</t>
  </si>
  <si>
    <t>FLEX_GPRS_ATTACH_AT_POWER_UP
0x00 – Off
0x01 – On
0x03 – When require</t>
  </si>
  <si>
    <t>ANS=(Rec 4) Service Type 2</t>
  </si>
  <si>
    <t>ANS=(Rec 4) DNS 1</t>
  </si>
  <si>
    <t xml:space="preserve"> RW 
OptionSpeaker option ON RW 
OptionOnlineAlertTone option ON RW 
OptionPhoneSpeaker option ON RW 
PTTButtonLock option ON RW 
OptionRFC3267 option ON INV 
RttMin integer 1800 INV 
RttMax integer 4000 INV 
RttMaxSipNum integer 10 INV 
RttMaxInviteNum integer 6 INV 
SipServerPort integer 5060 INV 
DNSServer string "0.0.0.0" RW 
DialPlan string "" INV 
JitterSize integer 4 INV 
OptionPttService option ON RW 
ConnectingWdt integer 20000 INV
ConnectedWdt integer 25000 INV
ListeningWdt integer 20000 INV
DefaultSid string "0002" INV
OptionPTV option ON INV
OptionDefaultPicture option ON INV
OptionLastSharedPicture option ON INV
OptionHideTimeout option always RW
PTVInactivityTimeout integer 300 INV
SensitivityTimer integer 350 INV
KeepRegistrIfNoGPRS option OFF
PtthelpFilePath string "MotoDemo" INV
OptionStartRConCallEnd option OFF INV
DisablePopups option OFF INV
</t>
  </si>
  <si>
    <t>GsmPTTSettings</t>
  </si>
  <si>
    <t>Wallpaper Graphic Specifications</t>
  </si>
  <si>
    <t>Theme Specifications</t>
  </si>
  <si>
    <t>MP3 ringer Specifications</t>
  </si>
  <si>
    <r>
      <t xml:space="preserve">1. </t>
    </r>
    <r>
      <rPr>
        <sz val="12"/>
        <rFont val="Times New Roman"/>
        <family val="1"/>
      </rPr>
      <t>GIF files can be in GIF87a and GIF89a formats</t>
    </r>
  </si>
  <si>
    <r>
      <t>2.</t>
    </r>
    <r>
      <rPr>
        <sz val="12"/>
        <rFont val="Times New Roman"/>
        <family val="1"/>
      </rPr>
      <t xml:space="preserve"> GIF file-sizes should not be larger than 90K bytes in size (recommend optimizing with optimization software tools)</t>
    </r>
  </si>
  <si>
    <r>
      <t>3.</t>
    </r>
    <r>
      <rPr>
        <sz val="12"/>
        <rFont val="Times New Roman"/>
        <family val="1"/>
      </rPr>
      <t xml:space="preserve"> GIF file sequence speed should be between 7 to 8 frames per second</t>
    </r>
  </si>
  <si>
    <r>
      <t>4.</t>
    </r>
    <r>
      <rPr>
        <sz val="12"/>
        <rFont val="Times New Roman"/>
        <family val="1"/>
      </rPr>
      <t xml:space="preserve"> Total elapse time for the entire animation sequence should be less than 2 seconds</t>
    </r>
  </si>
  <si>
    <t>Web Session Record 4 Data</t>
  </si>
  <si>
    <t>(Rec 4) User Session Name</t>
  </si>
  <si>
    <t>ANS=(Rec 4) User Session Name</t>
  </si>
  <si>
    <t>(Rec 4) Timeout</t>
  </si>
  <si>
    <t>ANS=(Rec 4) Timeout</t>
  </si>
  <si>
    <t>(Rec 4) CSD User Name 1</t>
  </si>
  <si>
    <t>ANS=(Rec 4) CSD User Name 1</t>
  </si>
  <si>
    <t>(Rec 4) CSD Password 1</t>
  </si>
  <si>
    <t>ANS=(Rec 4) CSD Password 1</t>
  </si>
  <si>
    <t>(Rec 4) CSD Speed 1</t>
  </si>
  <si>
    <t>ANS=(Rec 4) CSD Speed 1</t>
  </si>
  <si>
    <t>(Rec 4) CSD Line Type 1</t>
  </si>
  <si>
    <t>ANS=(Rec 4) CSD Line Type 1</t>
  </si>
  <si>
    <t>(Rec 4) CSD User Name 2</t>
  </si>
  <si>
    <t>ANS=(Rec 4) CSD User Name 2</t>
  </si>
  <si>
    <t>(Rec 4) CSD Password 2</t>
  </si>
  <si>
    <t>ANS=(Rec 4) CSD Password 2</t>
  </si>
  <si>
    <t>(Rec 4) CSD Speed 2</t>
  </si>
  <si>
    <t>ANS=(Rec 4) CSD Speed 2</t>
  </si>
  <si>
    <t>(Rec 4) CSD Line Type 2</t>
  </si>
  <si>
    <t>ANS=(Rec 4) CSD Line Type 2</t>
  </si>
  <si>
    <t>(Rec 4) GPRS APN</t>
  </si>
  <si>
    <t>ANS=(Rec 4) GPRS APN</t>
  </si>
  <si>
    <t>SelectCase</t>
  </si>
  <si>
    <r>
      <t xml:space="preserve">From SIM: </t>
    </r>
    <r>
      <rPr>
        <sz val="10"/>
        <rFont val="Arial"/>
        <family val="2"/>
      </rPr>
      <t xml:space="preserve">The speed dial is performed dialing the numbers stored on the SIM Card
</t>
    </r>
    <r>
      <rPr>
        <b/>
        <sz val="10"/>
        <rFont val="Arial"/>
        <family val="2"/>
      </rPr>
      <t xml:space="preserve">From Phone: </t>
    </r>
    <r>
      <rPr>
        <sz val="10"/>
        <rFont val="Arial"/>
        <family val="2"/>
      </rPr>
      <t>The speed dial is performed dialing the numbers stored on the phone</t>
    </r>
  </si>
  <si>
    <t>Ligue para mim.</t>
  </si>
  <si>
    <t>Telefone para minha casa.</t>
  </si>
  <si>
    <t>Estou ocupado.</t>
  </si>
  <si>
    <t>Chamarei mais tarde.</t>
  </si>
  <si>
    <t>Estou a caminho.</t>
  </si>
  <si>
    <t>0003</t>
  </si>
  <si>
    <t>0039</t>
  </si>
  <si>
    <t>Te llamo más tarde</t>
  </si>
  <si>
    <t>Llámame</t>
  </si>
  <si>
    <t>A qué número te llamo?</t>
  </si>
  <si>
    <t>Dónde estás?</t>
  </si>
  <si>
    <t>Estoy ocupado/a</t>
  </si>
  <si>
    <t>Ya voy en camino</t>
  </si>
  <si>
    <t>Llego en 15 minutos</t>
  </si>
  <si>
    <t>Necesito más información</t>
  </si>
  <si>
    <t>Cómo llego?</t>
  </si>
  <si>
    <t>Yes</t>
  </si>
  <si>
    <t>Where are you?</t>
  </si>
  <si>
    <t>Will call later</t>
  </si>
  <si>
    <t>No</t>
  </si>
  <si>
    <t>Call me</t>
  </si>
  <si>
    <t>Need directions</t>
  </si>
  <si>
    <t>Busy</t>
  </si>
  <si>
    <t>On my way</t>
  </si>
  <si>
    <t>Will arrive in 15 minutes</t>
  </si>
  <si>
    <t>Thank you</t>
  </si>
  <si>
    <t>Send # to call</t>
  </si>
  <si>
    <t>Pick me up</t>
  </si>
  <si>
    <t>Can this wait?</t>
  </si>
  <si>
    <t>OK</t>
  </si>
  <si>
    <t>¿Dónde andas?</t>
  </si>
  <si>
    <t>Hola, ¿cómo estás?</t>
  </si>
  <si>
    <t>Háblame, me urge</t>
  </si>
  <si>
    <t>Estoy ocupado al rato te hablo</t>
  </si>
  <si>
    <t>Háblame cuando puedas</t>
  </si>
  <si>
    <t>Llego más tarde</t>
  </si>
  <si>
    <t>Recibí tu mensaje, luego te hablo</t>
  </si>
  <si>
    <t>¿Qué estas haciendo?</t>
  </si>
  <si>
    <t>¿A qué hora nos vemos?</t>
  </si>
  <si>
    <t>STK User response Time Out</t>
  </si>
  <si>
    <t>It normally defines the time out for the user to enter information or perform an action while using a SIM Tool Kit Application. (from 0 to 60 minutes)</t>
  </si>
  <si>
    <t>STK Display Text Time Out</t>
  </si>
  <si>
    <t xml:space="preserve">Some SIM Tool Kit applications use this parameter as a time out while displaying transient messages to the user. </t>
  </si>
  <si>
    <t>Store all incoming SMS to SIM Card</t>
  </si>
  <si>
    <t>###### Template Version - 5.5.6 #######################</t>
  </si>
  <si>
    <t>ANS=(Rec 9) Domain 2 Name</t>
  </si>
  <si>
    <t>ANS=(Rec 9) Service Type 2</t>
  </si>
  <si>
    <t>ANS=(Rec 9) DNS 1</t>
  </si>
  <si>
    <t>ANS=(Rec 9) DNS 2</t>
  </si>
  <si>
    <t>ANS=(Rec 9) Timeout</t>
  </si>
  <si>
    <t>ANS=(Rec 9) CSD Number 1</t>
  </si>
  <si>
    <t>ANS=(Rec 9) CSD User Name 1</t>
  </si>
  <si>
    <t>ANS=(Rec 9) CSD Password 1</t>
  </si>
  <si>
    <t>ANS=(Rec 9) CSD Speed 1</t>
  </si>
  <si>
    <t>ANS=(Rec 9) CSD Line Type 1</t>
  </si>
  <si>
    <t>ANS=(Rec 9) CSD Number 2</t>
  </si>
  <si>
    <t>ANS=(Rec 9) CSD User Name 2</t>
  </si>
  <si>
    <t>ANS=(Rec 9) CSD Password 2</t>
  </si>
  <si>
    <t>ANS=(Rec 9) CSD Speed 2</t>
  </si>
  <si>
    <t>ANS=(Rec 9) CSD Line Type 2</t>
  </si>
  <si>
    <t>ANS=(Rec 9) GPRS APN</t>
  </si>
  <si>
    <t>ANS=(Rec 9) GPRS User Name</t>
  </si>
  <si>
    <t>ANS=(Rec 9) GPRS Password</t>
  </si>
  <si>
    <t>(Rec 9) Set As Default</t>
  </si>
  <si>
    <t>(Rec 9) Access</t>
  </si>
  <si>
    <t>(Rec 9) User Session Name</t>
  </si>
  <si>
    <t>(Rec 9) Home Page</t>
  </si>
  <si>
    <t>(Rec 9) Gateway IP1</t>
  </si>
  <si>
    <t>(Rec 9) Port 1</t>
  </si>
  <si>
    <t>(Rec 9) Domain 1 Name</t>
  </si>
  <si>
    <t>(Rec 9) Service Type 1</t>
  </si>
  <si>
    <t>(Rec 9) Gateway IP2</t>
  </si>
  <si>
    <t>(Rec 9) Port 2</t>
  </si>
  <si>
    <t>ANS=(Rec 1) GPRS Password</t>
  </si>
  <si>
    <t>Web Session Record 2 Data</t>
  </si>
  <si>
    <t>(Rec 2) User Session Name</t>
  </si>
  <si>
    <t>ANS=(Rec 2) User Session Name</t>
  </si>
  <si>
    <t>(Rec 2) Timeout</t>
  </si>
  <si>
    <t>ANS=(Rec 2) Timeout</t>
  </si>
  <si>
    <t>Value</t>
  </si>
  <si>
    <t>(Rec 2) CSD User Name 1</t>
  </si>
  <si>
    <t>FLEX_SUBSIDY_LOCK_GSM_HPLMN_LIST_01</t>
  </si>
  <si>
    <t>FLEX_SUBSIDY_LOCK_GSM_HPLMN_LIST_02</t>
  </si>
  <si>
    <t>FLEX_SUBSIDY_LOCK_GSM_HPLMN_LIST_03</t>
  </si>
  <si>
    <t>FLEX_SUBSIDY_LOCK_GSM_HPLMN_LIST_04</t>
  </si>
  <si>
    <t>FLEX_SUBSIDY_LOCK_GSM_HPLMN_LIST_05</t>
  </si>
  <si>
    <t>FLEX_SUBSIDY_LOCK_GSM_HPLMN_LIST_06</t>
  </si>
  <si>
    <t>FLEX_SUBSIDY_LOCK_GSM_HPLMN_LIST_07</t>
  </si>
  <si>
    <t>FLEX_SUBSIDY_LOCK_GSM_HPLMN_LIST_08</t>
  </si>
  <si>
    <t>FLEX_SUBSIDY_LOCK_GSM_HPLMN_LIST_09</t>
  </si>
  <si>
    <t>FLEX_SUBSIDY_LOCK_GSM_HPLMN_LIST_10</t>
  </si>
  <si>
    <t>FLEX_SUBSIDY_LOCK_GSM_HPLMN_LIST_11</t>
  </si>
  <si>
    <t>FLEX_SUBSIDY_LOCK_GSM_HPLMN_LIST_12</t>
  </si>
  <si>
    <t>FLEX_SUBSIDY_LOCK_GSM_HPLMN_LIST_13</t>
  </si>
  <si>
    <t>Continuous</t>
  </si>
  <si>
    <t>(Rec 4) GPRS User Name</t>
  </si>
  <si>
    <t>ANS=(Rec 4) GPRS User Name</t>
  </si>
  <si>
    <t>(Rec 4) GPRS Password</t>
  </si>
  <si>
    <t>ANS=(Rec 4) GPRS Password</t>
  </si>
  <si>
    <t>Language from SIM</t>
  </si>
  <si>
    <t>Turbo Dial 
(One touch dial location)</t>
  </si>
  <si>
    <t>From SIM</t>
  </si>
  <si>
    <t>Network Setup &gt; Speed</t>
  </si>
  <si>
    <t>Medium</t>
  </si>
  <si>
    <t xml:space="preserve">Slow, Medium or Fast: When the phone is out of signal, this setting will specify how frequent the phone will search for a new network. Medium is recommended. </t>
  </si>
  <si>
    <t>CPHS (COMMON PCN HANDSET SPECIFICATION)</t>
  </si>
  <si>
    <t>If this feature is ON, the phone will enable the CPHS enhancements including reading the voice mail number from the SIM Card.</t>
  </si>
  <si>
    <t>ALS (Alternate Line Service)</t>
  </si>
  <si>
    <t>If ON, the phone allows the user to have a second line on the same SIM Card (the SIM Card and network must support this feature)</t>
  </si>
  <si>
    <t>Automatic Unblock of PIN</t>
  </si>
  <si>
    <t>Name of the GPRS profile used for MMS service</t>
  </si>
  <si>
    <t>###### WAP Shortcuts #######################</t>
  </si>
  <si>
    <t>/a/psc.nvm</t>
  </si>
  <si>
    <t>WAP Shorcut 7 Name</t>
  </si>
  <si>
    <t>com bug</t>
  </si>
  <si>
    <t>WAP Shorcut 7 URL</t>
  </si>
  <si>
    <t>WAP Shorcut 8 Name</t>
  </si>
  <si>
    <t>WAP Shorcut 8 URL</t>
  </si>
  <si>
    <t>WAP Shorcut 9 Name</t>
  </si>
  <si>
    <t>WAP Shorcut 9 URL</t>
  </si>
  <si>
    <t>WAP Shorcut 10 Name</t>
  </si>
  <si>
    <t>WAP Shorcut 10 URL</t>
  </si>
  <si>
    <t>French</t>
  </si>
  <si>
    <t xml:space="preserve">Options: Spanish, Portuguese, English, French
</t>
  </si>
  <si>
    <t>TAP Spanish</t>
  </si>
  <si>
    <t>None</t>
  </si>
  <si>
    <t>Carrier needs to support this feature. If ON menu is enable the user select whether or not to request a read receipt</t>
  </si>
  <si>
    <t>GSM 1800 MHz Available</t>
  </si>
  <si>
    <t>GsmVstVersion</t>
  </si>
  <si>
    <t>RecordSize=1404</t>
  </si>
  <si>
    <t>Web Session Record 5 Data</t>
  </si>
  <si>
    <t>Web Session Record 6 Data</t>
  </si>
  <si>
    <t>(Rec 5) User Session Name</t>
  </si>
  <si>
    <t>(Rec 5) Timeout</t>
  </si>
  <si>
    <t>SEEM_CUST_WAKEUP_FILENAME</t>
  </si>
  <si>
    <t>SEEM_CUST_GOODBYE_FILENAME</t>
  </si>
  <si>
    <t>SEEM_WALL_PAPER_PICTURE_FILE_NAME</t>
  </si>
  <si>
    <t>SEEM_SCREEN_SAVER_FILE_NAME</t>
  </si>
  <si>
    <r>
      <t xml:space="preserve">On: </t>
    </r>
    <r>
      <rPr>
        <sz val="10"/>
        <rFont val="Arial"/>
        <family val="2"/>
      </rPr>
      <t xml:space="preserve"> A message indicating about possible extra charges will be applied when the browser is started. The phone will prompt the user to accept the action. 
</t>
    </r>
    <r>
      <rPr>
        <b/>
        <sz val="10"/>
        <rFont val="Arial"/>
        <family val="2"/>
      </rPr>
      <t xml:space="preserve">Off: </t>
    </r>
    <r>
      <rPr>
        <sz val="10"/>
        <rFont val="Arial"/>
        <family val="2"/>
      </rPr>
      <t>The browser will be launched without requiring confirmation from the user.
Note: This setting is</t>
    </r>
  </si>
  <si>
    <r>
      <t xml:space="preserve">
</t>
    </r>
    <r>
      <rPr>
        <b/>
        <sz val="10"/>
        <rFont val="Arial"/>
        <family val="2"/>
      </rPr>
      <t xml:space="preserve">On: </t>
    </r>
    <r>
      <rPr>
        <sz val="10"/>
        <rFont val="Arial"/>
        <family val="2"/>
      </rPr>
      <t xml:space="preserve">The phone will use the wap pages stored in the cache memory when starting up.
</t>
    </r>
    <r>
      <rPr>
        <b/>
        <sz val="10"/>
        <rFont val="Arial"/>
        <family val="2"/>
      </rPr>
      <t xml:space="preserve">Off: </t>
    </r>
    <r>
      <rPr>
        <sz val="10"/>
        <rFont val="Arial"/>
        <family val="2"/>
      </rPr>
      <t>The phone will connect to the WAP page without checking the cache memory.</t>
    </r>
  </si>
  <si>
    <t>If the user exceed the number of allowed password retries, the phone will stop requesting the subsidy lock code for as long as specified in this setting.</t>
  </si>
  <si>
    <t>(Rec 5) CSD User Name 1</t>
  </si>
  <si>
    <t>(Rec 5) CSD Password 1</t>
  </si>
  <si>
    <t>(Rec 5) CSD Speed 1</t>
  </si>
  <si>
    <t>(Rec 5) CSD Line Type 1</t>
  </si>
  <si>
    <t>(Rec 5) CSD User Name 2</t>
  </si>
  <si>
    <t>(Rec 5) CSD Password 2</t>
  </si>
  <si>
    <t>(Rec 5) CSD Speed 2</t>
  </si>
  <si>
    <t>(Rec 5) CSD Line Type 2</t>
  </si>
  <si>
    <r>
      <t>7.</t>
    </r>
    <r>
      <rPr>
        <sz val="12"/>
        <rFont val="Times New Roman"/>
        <family val="1"/>
      </rPr>
      <t xml:space="preserve"> Color Depth: 16 bits (65k colors)</t>
    </r>
  </si>
  <si>
    <r>
      <t>8.</t>
    </r>
    <r>
      <rPr>
        <sz val="12"/>
        <rFont val="Times New Roman"/>
        <family val="1"/>
      </rPr>
      <t xml:space="preserve"> Image Dimensions:  Width: 128   Height: 160</t>
    </r>
  </si>
  <si>
    <r>
      <t>5.</t>
    </r>
    <r>
      <rPr>
        <sz val="12"/>
        <rFont val="Times New Roman"/>
        <family val="1"/>
      </rPr>
      <t xml:space="preserve"> Color Depth: 16 bits (65k colors)</t>
    </r>
  </si>
  <si>
    <r>
      <t>6.</t>
    </r>
    <r>
      <rPr>
        <sz val="12"/>
        <rFont val="Times New Roman"/>
        <family val="1"/>
      </rPr>
      <t xml:space="preserve"> Image Dimensions:  Width: 128   Height: 160</t>
    </r>
  </si>
  <si>
    <r>
      <t>On:</t>
    </r>
    <r>
      <rPr>
        <sz val="10"/>
        <rFont val="Arial"/>
        <family val="2"/>
      </rPr>
      <t xml:space="preserve"> the phone automatically sets the language to the one indicated on the SIM Card. 
</t>
    </r>
    <r>
      <rPr>
        <b/>
        <sz val="10"/>
        <rFont val="Arial"/>
        <family val="2"/>
      </rPr>
      <t>Off:</t>
    </r>
    <r>
      <rPr>
        <sz val="10"/>
        <rFont val="Arial"/>
        <family val="2"/>
      </rPr>
      <t xml:space="preserve"> the phone will turn ON using the language selected as "Current Language"</t>
    </r>
  </si>
  <si>
    <r>
      <t>On:</t>
    </r>
    <r>
      <rPr>
        <sz val="10"/>
        <rFont val="Arial"/>
        <family val="2"/>
      </rPr>
      <t xml:space="preserve"> The phone allows forwarding of Ringtones and Pictures through EMS.
</t>
    </r>
    <r>
      <rPr>
        <b/>
        <sz val="10"/>
        <rFont val="Arial"/>
        <family val="2"/>
      </rPr>
      <t xml:space="preserve">Off: </t>
    </r>
    <r>
      <rPr>
        <sz val="10"/>
        <rFont val="Arial"/>
        <family val="2"/>
      </rPr>
      <t>The phone does not allow to forward content using EMS.</t>
    </r>
  </si>
  <si>
    <t>SMS Read Receipt</t>
  </si>
  <si>
    <t>ANS=(Rec 4) DNS 2</t>
  </si>
  <si>
    <t>ANS=(Rec 4) CSD Number 1</t>
  </si>
  <si>
    <t>ANS=(Rec 4) CSD Number 2</t>
  </si>
  <si>
    <t>ANS=(Rec 5) Access</t>
  </si>
  <si>
    <t>ANS=(Rec 5) Home Page</t>
  </si>
  <si>
    <t>ANS=(Rec 5) Gateway IP1</t>
  </si>
  <si>
    <t>ANS=(Rec 5) Port 1</t>
  </si>
  <si>
    <t>ANS=(Rec 5) Domain 1 Name</t>
  </si>
  <si>
    <t>ANS=(Rec 5) Service Type 1</t>
  </si>
  <si>
    <t>ANS=(Rec 5) Gateway IP2</t>
  </si>
  <si>
    <t>R3443H1_G_0A.65.0BR</t>
  </si>
  <si>
    <t>JAVA_G_0A_L6_01_01_13R</t>
  </si>
  <si>
    <t>GSVL6iMSTVZLA077</t>
  </si>
  <si>
    <t>r3.443.h1_l6refresh_pds_001</t>
  </si>
  <si>
    <t>r3443h1_g_0a.65.0br_drm0201</t>
  </si>
  <si>
    <t>Not Supported</t>
  </si>
  <si>
    <t>ITAP French</t>
  </si>
  <si>
    <t>ANS=(Rec 5) Port 2</t>
  </si>
  <si>
    <t>ANS=(Rec 5) Domain 2 Name</t>
  </si>
  <si>
    <t>ANS=(Rec 5) Service Type 2</t>
  </si>
  <si>
    <t>ANS=(Rec 5) DNS 1</t>
  </si>
  <si>
    <t>ANS=(Rec 5) DNS 2</t>
  </si>
  <si>
    <t>ANS=(Rec 5) CSD Number 1</t>
  </si>
  <si>
    <t>ANS=(Rec 5) CSD Number 2</t>
  </si>
  <si>
    <t>ANS=(Rec 6) Access</t>
  </si>
  <si>
    <t>ANS=(Rec 6) Home Page</t>
  </si>
  <si>
    <t>ANS=(Rec 6) Gateway IP1</t>
  </si>
  <si>
    <t>ANS=(Rec 6) Port 1</t>
  </si>
  <si>
    <t>ANS=(Rec 6) Domain 1 Name</t>
  </si>
  <si>
    <t>ANS=(Rec 6) Service Type 1</t>
  </si>
  <si>
    <t>ANS=(Rec 6) Gateway IP2</t>
  </si>
  <si>
    <t>ANS=(Rec 6) Port 2</t>
  </si>
  <si>
    <t>ANS=(Rec 6) Domain 2 Name</t>
  </si>
  <si>
    <t>ANS=(Rec 6) Service Type 2</t>
  </si>
  <si>
    <t>ANS=(Rec 6) DNS 1</t>
  </si>
  <si>
    <t>ANS=(Rec 6) DNS 2</t>
  </si>
  <si>
    <t>ANS=(Rec 6) CSD Number 1</t>
  </si>
  <si>
    <t>ANS=(Rec 6) CSD Number 2</t>
  </si>
  <si>
    <t>(Rec 1) Access</t>
  </si>
  <si>
    <t>(Rec 1) Home Page</t>
  </si>
  <si>
    <t>(Rec 1) Gateway IP1</t>
  </si>
  <si>
    <t>(Rec 1) Port 1</t>
  </si>
  <si>
    <t>(Rec 1) Domain 1 Name</t>
  </si>
  <si>
    <t>(Rec 1) Service Type 1</t>
  </si>
  <si>
    <t>(Rec 1) Gateway IP2</t>
  </si>
  <si>
    <t>(Rec 1) Port 2</t>
  </si>
  <si>
    <t>(Rec 1) Domain 2 Name</t>
  </si>
  <si>
    <t>(Rec 1) Service Type 2</t>
  </si>
  <si>
    <t>(Rec 1) DNS 1</t>
  </si>
  <si>
    <t>(Rec 1) DNS 2</t>
  </si>
  <si>
    <t>(Rec 1) CSD Number 1</t>
  </si>
  <si>
    <t>(Rec 1) CSD Number 2</t>
  </si>
  <si>
    <t>(Rec 2) Access</t>
  </si>
  <si>
    <t>(Rec 2) Home Page</t>
  </si>
  <si>
    <t>(Rec 2) Gateway IP1</t>
  </si>
  <si>
    <t>(Rec 2) Port 1</t>
  </si>
  <si>
    <t>(Rec 2) Domain 1 Name</t>
  </si>
  <si>
    <t>(Rec 2) Service Type 1</t>
  </si>
  <si>
    <t>(Rec 2) Gateway IP2</t>
  </si>
  <si>
    <t>(Rec 2) Port 2</t>
  </si>
  <si>
    <t>(Rec 2) Domain 2 Name</t>
  </si>
  <si>
    <t>(Rec 2) Service Type 2</t>
  </si>
  <si>
    <t>(Rec 2) DNS 1</t>
  </si>
  <si>
    <t>(Rec 2) DNS 2</t>
  </si>
  <si>
    <t>(Rec 2) CSD Number 1</t>
  </si>
  <si>
    <t>(Rec 2) CSD Number 2</t>
  </si>
  <si>
    <t>(Rec 3) Access</t>
  </si>
  <si>
    <t>(Rec 3) Home Page</t>
  </si>
  <si>
    <t>(Rec 3) Gateway IP1</t>
  </si>
  <si>
    <t>(Rec 3) Port 1</t>
  </si>
  <si>
    <t>(Rec 3) Domain 1 Name</t>
  </si>
  <si>
    <t>(Rec 3) Service Type 1</t>
  </si>
  <si>
    <t>(Rec 3) Gateway IP2</t>
  </si>
  <si>
    <t>(Rec 3) Port 2</t>
  </si>
  <si>
    <t>(Rec 3) Domain 2 Name</t>
  </si>
  <si>
    <t>(Rec 3) Service Type 2</t>
  </si>
  <si>
    <t>(Rec 3) DNS 1</t>
  </si>
  <si>
    <t>(Rec 3) DNS 2</t>
  </si>
  <si>
    <t>(Rec 3) CSD Number 1</t>
  </si>
  <si>
    <t>Menu -&gt; Messages -&gt; Create Message -&gt; New Short Message -&gt; Menu -&gt; Entry setup 
or
DL_DB_FEATURE_ID_PRIMARY_MESSAGE_METHOD
0x00 - ITAP - American English (lang pack 0003)
0x01 - ITAP - Canadian French (lang pack 0003)
0x02 - ITAP - American/Columbian Spanish (lang pack 0003)
0x03 - ITAP - Brazilian Portuguese (lang pack 0003)
0x04 - TAP - Simplified current language (lang pack 0003)
0x05 - TAP - Extended (lang pack 0003)
For LP0039
00=ITAP English
01=ITAP French
02=ITAP Deutsch
03=ITAP Italian
04=ITAP Spanish
05=ITAP Nederlands
06=ITAP Turkçe
07=ITAP Portuguese
08=TAP Current Language
09=TAP Extended</t>
  </si>
  <si>
    <t>Menu -&gt; Messages -&gt; Create Message -&gt; New Short Message -&gt; Menu -&gt; Entry Setup (depend of phone language  - You can to change the languages of phone and to check this item).
or
DL_DB_FEATURE_ID_SECONDARY_MESSAGE_METHOD
0x00 - ITAP - American English (lang pack 0003)
0x01 - ITAP - Canadian French (lang pack 0003)
0x02 - ITAP - American/Columbian Spanish (lang pack 0003)
0x03 - ITAP - Brazilian Portuguese (lang pack 0003)
0x04 - TAP - Simplified current language (lang pack 0003)
0x05 - TAP - Extended (lang pack 0003)
For LP0039
00=ITAP English
01=ITAP French
02=ITAP Deutsch
03=ITAP Italian
04=ITAP Spanish
05=ITAP Nederlands
06=ITAP Turkçe
07=ITAP Portuguese
08=TAP Current Language
09=TAP Extended</t>
  </si>
  <si>
    <t>(Rec 3) CSD Number 2</t>
  </si>
  <si>
    <t>(Rec 4) Access</t>
  </si>
  <si>
    <t>ANS=Quick Note 2</t>
  </si>
  <si>
    <t>Quick Note 3</t>
  </si>
  <si>
    <t>ANS=Quick Note 3</t>
  </si>
  <si>
    <t>Quick Note 4</t>
  </si>
  <si>
    <t>ANS=Quick Note 4</t>
  </si>
  <si>
    <t>Quick Note 5</t>
  </si>
  <si>
    <t>ANS=Quick Note 5</t>
  </si>
  <si>
    <t>Quick Note 6</t>
  </si>
  <si>
    <t>ANS=Quick Note 6</t>
  </si>
  <si>
    <t>Menu -&gt; Settings -&gt; Initial Setup -&gt; DTMF
or
DL_DB_FEATURE_ID_CURRENT_DTMF_SETTING
0x00 - OFF
0x01 – Short
0x02 – Long</t>
  </si>
  <si>
    <t>00=Off|01=Short|02=Long</t>
  </si>
  <si>
    <t>Lock on Network Only (0x08)</t>
  </si>
  <si>
    <t>Lock on 2 IMSI Digits (0x02)</t>
  </si>
  <si>
    <t>Lock on Group ID (0x03)</t>
  </si>
  <si>
    <t>Lock on Range of IMSI Digits (0x04)</t>
  </si>
  <si>
    <t>Lock on First IMSI (0x05)</t>
  </si>
  <si>
    <t>Lock on First GID 1 (0x06)</t>
  </si>
  <si>
    <t>Lock on First PLMN (0x07)</t>
  </si>
  <si>
    <t>Lock on Valid PLMN (0x09)</t>
  </si>
  <si>
    <t>Validation</t>
  </si>
  <si>
    <t>MENU -&gt; Settings -&gt; Initial setup -&gt; Time and Date
or
DL_DB_FEATURE_ID_CURRENT_TIME_FORMAT
0x00 – 12h format
0x01 – 24h format</t>
  </si>
  <si>
    <t>Model</t>
  </si>
  <si>
    <t>C:\Temp\</t>
  </si>
  <si>
    <t>Menu -&gt; Settings -&gt; In-Call setup -&gt; Answer Options -&gt; Multi Key Answer
or
DL_DB_FEATURE_ID_MULTI_KEY_ANSWER
0x00 – Off
0x01 – On</t>
  </si>
  <si>
    <t>Secondary IP port to be used for stablishing the connection to the WAP Gateway (9201, 9203)</t>
  </si>
  <si>
    <t>Domain 2</t>
  </si>
  <si>
    <t>Service Type 2</t>
  </si>
  <si>
    <t>DNS 1</t>
  </si>
  <si>
    <t>Domain Name Server 1</t>
  </si>
  <si>
    <t>DNS 2</t>
  </si>
  <si>
    <t>Timeout for the CSD connection. The phone will end the CSD session if no data activity is registered after this timeout. (60, 120, 300, 600, 900 sec)</t>
  </si>
  <si>
    <t>CSD Phone Number L1</t>
  </si>
  <si>
    <t>First Phone number to be dialed for the CSD connection</t>
  </si>
  <si>
    <t>CSD User Name L1</t>
  </si>
  <si>
    <t>User name to be used for authentication when the phone is dialing the CSD Phone Number L1</t>
  </si>
  <si>
    <t>CSD Password L1</t>
  </si>
  <si>
    <t>Password to be used in conjuction with CSD User Name L1</t>
  </si>
  <si>
    <t>CSD Connection Speed L1</t>
  </si>
  <si>
    <t>2400, 4800, 9600, 14400 bps</t>
  </si>
  <si>
    <t>CSD Line Type L1</t>
  </si>
  <si>
    <t>ISDN</t>
  </si>
  <si>
    <t>ISDN or Modem</t>
  </si>
  <si>
    <t>CSD Phone Number L2</t>
  </si>
  <si>
    <t>ANS=(Rec 3) GPRS Password</t>
  </si>
  <si>
    <t>MENU -&gt; Settings -&gt; Initial setup -&gt; Time and Date -&gt; Change Date -&gt; Format
or
DL_DB_FEATURE_ID_CURRENT_DATE_FORMAT
0x02 - dd/mmm/yy
0x01 - dd/mm/yy
0x00 - mm/dd/yy</t>
  </si>
  <si>
    <t>Subsidy Lock Enable / Type</t>
  </si>
  <si>
    <t>Invisible Net</t>
  </si>
  <si>
    <t>Hellomoto</t>
  </si>
  <si>
    <t>OFF (0x00)</t>
  </si>
  <si>
    <t>Lock on 1 IMSI Digits (0x01)</t>
  </si>
  <si>
    <t>00=OFF (0x00)|01=Lock on 1 IMSI Digits (0x01)|02=Lock on 2 IMSI Digits (0x02)|03=Lock on Group ID (0x03)|04=Lock on Range of IMSI Digits (0x04)|05=Lock on First IMSI (0x05)|06=Lock on First GID 1 (0x06)|07=Lock on First PLMN (0x07)|08=Lock on Network Only (0x08)|09=Lock on Valid PLMN (0x09)|0A=Lock on Telefonica Secondary Lock (0x0A)|0B=Lock on HLR Table (0x0B)|0D=Lock on Airtel SIM Lock (0x0D)</t>
  </si>
  <si>
    <t>iNet 1</t>
  </si>
  <si>
    <t>iNet 2</t>
  </si>
  <si>
    <t>iNet 3</t>
  </si>
  <si>
    <t>iNet 4</t>
  </si>
  <si>
    <t>Menu Position</t>
  </si>
  <si>
    <t>icon</t>
  </si>
  <si>
    <t>URL</t>
  </si>
  <si>
    <t>Java Tools</t>
  </si>
  <si>
    <t>Video Player</t>
  </si>
  <si>
    <t>Audio Player</t>
  </si>
  <si>
    <t>Hellomoto URL</t>
  </si>
  <si>
    <t>iNet 5</t>
  </si>
  <si>
    <t>iNet 6</t>
  </si>
  <si>
    <t>Access the path to the iNet and check if it's correct</t>
  </si>
  <si>
    <t>###### iNet settings #######################</t>
  </si>
  <si>
    <t>iNet Name 1</t>
  </si>
  <si>
    <t>iNet URL 1</t>
  </si>
  <si>
    <t>iNet Position 1</t>
  </si>
  <si>
    <t>iNet Name 2</t>
  </si>
  <si>
    <t>iNet URL 2</t>
  </si>
  <si>
    <t>iNet Position 2</t>
  </si>
  <si>
    <t>iNet Name 3</t>
  </si>
  <si>
    <t>iNet URL 3</t>
  </si>
  <si>
    <t>iNet Position 3</t>
  </si>
  <si>
    <t>iNet Name 4</t>
  </si>
  <si>
    <t>iNet URL 4</t>
  </si>
  <si>
    <t>iNet Position 4</t>
  </si>
  <si>
    <t>iNet Name 5</t>
  </si>
  <si>
    <t>iNet URL 5</t>
  </si>
  <si>
    <t>iNet Position 5</t>
  </si>
  <si>
    <t>iNet Name 6</t>
  </si>
  <si>
    <t>iNet URL 6</t>
  </si>
  <si>
    <t>iNet Position 6</t>
  </si>
  <si>
    <t>iNet Name 7</t>
  </si>
  <si>
    <t>iNet URL 7</t>
  </si>
  <si>
    <t>iNet Position 7</t>
  </si>
  <si>
    <t>iNet Name 8</t>
  </si>
  <si>
    <t>iNet URL 8</t>
  </si>
  <si>
    <t>iNet Position 8</t>
  </si>
  <si>
    <t>iNet Name 9</t>
  </si>
  <si>
    <t>iNet URL 9</t>
  </si>
  <si>
    <t>iNet Position 9</t>
  </si>
  <si>
    <t>iNet Name 10</t>
  </si>
  <si>
    <t>iNet URL 10</t>
  </si>
  <si>
    <t>iNet Position 10</t>
  </si>
  <si>
    <t>Games&amp;Apps</t>
  </si>
  <si>
    <t>00</t>
  </si>
  <si>
    <t>02</t>
  </si>
  <si>
    <t>06</t>
  </si>
  <si>
    <t>07</t>
  </si>
  <si>
    <t>08</t>
  </si>
  <si>
    <t>09</t>
  </si>
  <si>
    <t>iNet 7</t>
  </si>
  <si>
    <t>iNet 8</t>
  </si>
  <si>
    <t>iNet 9</t>
  </si>
  <si>
    <t>iNet 10</t>
  </si>
  <si>
    <t>iNets Mapped</t>
  </si>
  <si>
    <t>PRI 5.5.5 Improvements</t>
  </si>
  <si>
    <t>004A0001001E0001</t>
  </si>
  <si>
    <t>004E000102E00004</t>
  </si>
  <si>
    <t>0x00000000</t>
  </si>
  <si>
    <t>MENU -&gt; WebAccess -&gt; Web Sessions
The selected one is the default
Select the one you want to check, then:
MENU -&gt; Edit
or
Simple check the FDF. You can also use the motoconfig program to check all Web Sessions as well</t>
  </si>
  <si>
    <t>MENU&gt;Messages&gt;Message Inbox&gt;MENU&gt;Setup&gt;Text Message Setup&gt;Email Gateway
or
SEEM_EMAIL_GATEWAY_MIN
The Value should look like:
&lt;SEEM_EMAIL_GATEWAY_MIN&gt;
(0x38,0x38,0x32,0x00)
&lt;/SEEM_EMAIL_GATEWAY_MIN&gt;</t>
  </si>
  <si>
    <t>Usar cartão da operadora= não deverá bloquear; outra operadora= deverá bloquear e solicitar código";</t>
  </si>
  <si>
    <t>No Default Value</t>
  </si>
  <si>
    <t>------------------------------------------------</t>
  </si>
  <si>
    <t>ANS=(Rec 2) CSD User Name 1</t>
  </si>
  <si>
    <t>(Rec 2) CSD Password 1</t>
  </si>
  <si>
    <t>ANS=(Rec 2) CSD Password 1</t>
  </si>
  <si>
    <t>(Rec 2) CSD Speed 1</t>
  </si>
  <si>
    <t>ANS=(Rec 2) CSD Speed 1</t>
  </si>
  <si>
    <t>(Rec 2) CSD Line Type 1</t>
  </si>
  <si>
    <t>ANS=(Rec 2) CSD Line Type 1</t>
  </si>
  <si>
    <t>(Rec 2) CSD User Name 2</t>
  </si>
  <si>
    <t>ANS=(Rec 2) CSD User Name 2</t>
  </si>
  <si>
    <t>(Rec 2) CSD Password 2</t>
  </si>
  <si>
    <t>ANS=(Rec 2) CSD Password 2</t>
  </si>
  <si>
    <t>(Rec 2) CSD Speed 2</t>
  </si>
  <si>
    <t>ANS=(Rec 2) CSD Speed 2</t>
  </si>
  <si>
    <t>(Rec 2) CSD Line Type 2</t>
  </si>
  <si>
    <t>ANS=(Rec 2) CSD Line Type 2</t>
  </si>
  <si>
    <t>(Rec 2) GPRS APN</t>
  </si>
  <si>
    <t>ANS=(Rec 2) GPRS APN</t>
  </si>
  <si>
    <t>(Rec 2) GPRS User Name</t>
  </si>
  <si>
    <t>ANS=(Rec 2) GPRS User Name</t>
  </si>
  <si>
    <t>(Rec 2) GPRS Password</t>
  </si>
  <si>
    <t>ANS=(Rec 2) GPRS Password</t>
  </si>
  <si>
    <t>Web Session Record 3 Data</t>
  </si>
  <si>
    <t>(Rec 3) User Session Name</t>
  </si>
  <si>
    <t>ANS=(Rec 3) User Session Name</t>
  </si>
  <si>
    <t>(Rec 3) Timeout</t>
  </si>
  <si>
    <t>Movistar GSM WP.gif</t>
  </si>
  <si>
    <t>ANS=(Rec 3) Timeout</t>
  </si>
  <si>
    <t>(Rec 3) CSD User Name 1</t>
  </si>
  <si>
    <t>DL_DB_FEATURE_ID_AUTOMATIC_PIN_UNBLOCK_AVAILABLE</t>
  </si>
  <si>
    <t>DL_DB_FEATURE_ID_STK_DISPLAY_TEXT_TIMEOUT_TIME</t>
  </si>
  <si>
    <t>DL_DB_FEATURE_ID_STORE_ALL_SMS_TO_SIM_AVAILABLE</t>
  </si>
  <si>
    <t>Quad-Band</t>
  </si>
  <si>
    <t>GSM 850/1800-1900</t>
  </si>
  <si>
    <t>GSM 900/1800-1900</t>
  </si>
  <si>
    <t>GSM 850/1900</t>
  </si>
  <si>
    <t>Web Session Record 7 Data</t>
  </si>
  <si>
    <t>Web Session Record 8 Data</t>
  </si>
  <si>
    <t>Web Session Record 9 Data</t>
  </si>
  <si>
    <t>Web Session Record 10 Data</t>
  </si>
  <si>
    <t>(Rec 6) GPRS User Name</t>
  </si>
  <si>
    <t>(Rec 6) GPRS Password</t>
  </si>
  <si>
    <t>ANS=(Rec 6) User Session Name</t>
  </si>
  <si>
    <t>ANS=(Rec 6) Timeout</t>
  </si>
  <si>
    <t>ANS=(Rec 6) CSD User Name 1</t>
  </si>
  <si>
    <t>ANS=(Rec 6) CSD Password 1</t>
  </si>
  <si>
    <t>ANS=(Rec 6) CSD Speed 1</t>
  </si>
  <si>
    <t>ANS=(Rec 6) CSD Line Type 1</t>
  </si>
  <si>
    <t>ANS=(Rec 6) CSD User Name 2</t>
  </si>
  <si>
    <t>ANS=(Rec 6) CSD Password 2</t>
  </si>
  <si>
    <t>ANS=(Rec 6) CSD Speed 2</t>
  </si>
  <si>
    <t>ANS=(Rec 6) CSD Line Type 2</t>
  </si>
  <si>
    <t>ANS=(Rec 6) GPRS APN</t>
  </si>
  <si>
    <t>Media Files</t>
  </si>
  <si>
    <t>Additional media files</t>
  </si>
  <si>
    <t>Other Personalized settings</t>
  </si>
  <si>
    <t>Selected as default?</t>
  </si>
  <si>
    <t>Pasa a buscarme</t>
  </si>
  <si>
    <t>Session #5</t>
  </si>
  <si>
    <t>Session #6</t>
  </si>
  <si>
    <t>User Session Name</t>
  </si>
  <si>
    <t>Clock</t>
  </si>
  <si>
    <t>PDS</t>
  </si>
  <si>
    <t>DRM</t>
  </si>
  <si>
    <t>Technology / Band</t>
  </si>
  <si>
    <t>VST</t>
  </si>
  <si>
    <t>BytesPerData=1|ByteSwap=TRUE</t>
  </si>
  <si>
    <t>If Info Service is set to ON, this field indicated the channel user for quick view of the Info Service Messages.</t>
  </si>
  <si>
    <t>Save Quick View?</t>
  </si>
  <si>
    <t>MMS</t>
  </si>
  <si>
    <t>min</t>
  </si>
  <si>
    <t>1 minute</t>
  </si>
  <si>
    <t>sec</t>
  </si>
  <si>
    <t>DL_DB_FEATURE_ID_GSM_1800_AVAILABLE</t>
  </si>
  <si>
    <t>GSM 1900 MHz Available</t>
  </si>
  <si>
    <t>DL_DB_FEATURE_ID_GSM_1900_AVAILABLE</t>
  </si>
  <si>
    <t>GSM 850 MHz Available</t>
  </si>
  <si>
    <t>DL_DB_FEATURE_ID_GSM_850_AVAILABLE</t>
  </si>
  <si>
    <t>GSM 900 MHz Available</t>
  </si>
  <si>
    <t>(Rec 5) Port 2</t>
  </si>
  <si>
    <t>(Rec 5) Domain 2 Name</t>
  </si>
  <si>
    <t>(Rec 5) Service Type 2</t>
  </si>
  <si>
    <t>(Rec 5) DNS 1</t>
  </si>
  <si>
    <t>(Rec 5) DNS 2</t>
  </si>
  <si>
    <t>(Rec 5) CSD Number 1</t>
  </si>
  <si>
    <t>(Rec 5) CSD Number 2</t>
  </si>
  <si>
    <t>(Rec 6) Access</t>
  </si>
  <si>
    <t>(Rec 6) Home Page</t>
  </si>
  <si>
    <t>(Rec 6) Gateway IP1</t>
  </si>
  <si>
    <t>(Rec 6) Port 1</t>
  </si>
  <si>
    <t>(Rec 6) Domain 1 Name</t>
  </si>
  <si>
    <t>(Rec 6) Service Type 1</t>
  </si>
  <si>
    <t>(Rec 6) Gateway IP2</t>
  </si>
  <si>
    <t>(Rec 6) Port 2</t>
  </si>
  <si>
    <t>(Rec 6) Domain 2 Name</t>
  </si>
  <si>
    <t>(Rec 6) Service Type 2</t>
  </si>
  <si>
    <t>(Rec 6) DNS 1</t>
  </si>
  <si>
    <t>(Rec 6) DNS 2</t>
  </si>
  <si>
    <t>(Rec 6) CSD Number 1</t>
  </si>
  <si>
    <t>(Rec 6) CSD Number 2</t>
  </si>
  <si>
    <t>RecentCall</t>
  </si>
  <si>
    <t>PhoneBook</t>
  </si>
  <si>
    <t>Bluetooth</t>
  </si>
  <si>
    <t>SIMApp</t>
  </si>
  <si>
    <t>Sounds</t>
  </si>
  <si>
    <t>Games</t>
  </si>
  <si>
    <t>Message</t>
  </si>
  <si>
    <t>WebAccess</t>
  </si>
  <si>
    <t>Browser</t>
  </si>
  <si>
    <t>WebShortcut</t>
  </si>
  <si>
    <t>Theme</t>
  </si>
  <si>
    <t>Pictures</t>
  </si>
  <si>
    <t>Video</t>
  </si>
  <si>
    <t>VideoCamera</t>
  </si>
  <si>
    <t>Tools</t>
  </si>
  <si>
    <t>Calculator</t>
  </si>
  <si>
    <t>Shortcuts</t>
  </si>
  <si>
    <t>VoiceRecord</t>
  </si>
  <si>
    <t>AlarmClock</t>
  </si>
  <si>
    <t>DialService</t>
  </si>
  <si>
    <t>Settings</t>
  </si>
  <si>
    <t>Personalize</t>
  </si>
  <si>
    <t>Sync</t>
  </si>
  <si>
    <t>CallForward</t>
  </si>
  <si>
    <t>InCallSetup</t>
  </si>
  <si>
    <t>PhoneStatus</t>
  </si>
  <si>
    <t>Headset</t>
  </si>
  <si>
    <t>CarSetting</t>
  </si>
  <si>
    <t>Network</t>
  </si>
  <si>
    <t>Security</t>
  </si>
  <si>
    <t>JAVATools</t>
  </si>
  <si>
    <t>IntlSetup</t>
  </si>
  <si>
    <t>iTunes</t>
  </si>
  <si>
    <t>FLEX_SUBSIDY_LOCK_GSM_PENALTY_LIMIT</t>
  </si>
  <si>
    <t>FLEX_GPRS_ATTACH_AT_POWER_UP</t>
  </si>
  <si>
    <t>DL_DB_FEATURE_ID_STORE_ALL_SMS_TO_SIM_AVAILABLE
0 –Off -&gt; The SMS wont be saved on the SIM Card
1 – On -&gt; The SMS will be saved on the SIM Card memory</t>
  </si>
  <si>
    <t>DL_DB_FEATURE_ID_EMS_ALLOW_FWD_CONTENTS_AVAILABLE
0 – Off
1 – On</t>
  </si>
  <si>
    <t>Technology ID</t>
  </si>
  <si>
    <t>DL_DB_FEATURE_ID_TECHNOLOGY</t>
  </si>
  <si>
    <t>DisplayBits</t>
  </si>
  <si>
    <t>GsmKeysTriplets</t>
  </si>
  <si>
    <t>GsmKjava</t>
  </si>
  <si>
    <t>GsmMainMenuOrderTriplets</t>
  </si>
  <si>
    <t>GsmWebSession</t>
  </si>
  <si>
    <t>FeatureId=291|IfSetDisplay=On|IfNotSetDisplay=Off</t>
  </si>
  <si>
    <t>FeatureId=695|IfSetDisplay=On|IfNotSetDisplay=Off</t>
  </si>
  <si>
    <t>FeatureId=018|IfSetDisplay=On|IfNotSetDisplay=Off</t>
  </si>
  <si>
    <t>Prefered Band</t>
  </si>
  <si>
    <t xml:space="preserve">DFT_DL_DB_FEATURE_ID_LAST_BAND_SELECTED </t>
  </si>
  <si>
    <t>Support to 20 HPLMNs</t>
  </si>
  <si>
    <t>Default Ring Tone</t>
  </si>
  <si>
    <t>0x00: GPRS attach at power up off: The phone will attach to the GPRS network when the first GPRS session is started. The phone will remain attached until the phone turned off.
0x01: GPRS attach tat power up on: The phone will attach to the GPRS network as soon as the phone is powered on. It will remain attached all the time.
0x03: GPRS attach when required. The phone will be attached to the GPRS network only when a GPRS session is active.</t>
  </si>
  <si>
    <t>When GPRS is not possible and the phone will attempt to setup a CSD connection, if: 
On: The phone will show a message indicating that additional charges could apply. The user needs to confirm the action.
Off: CSD is attempted without requiring user confirmation.</t>
  </si>
  <si>
    <t>WAP sessions</t>
  </si>
  <si>
    <t>Default</t>
  </si>
  <si>
    <t>Session #1</t>
  </si>
  <si>
    <t>Session #2</t>
  </si>
  <si>
    <t>Session #3</t>
  </si>
  <si>
    <t>Session #4</t>
  </si>
  <si>
    <t>Yes/No</t>
  </si>
  <si>
    <t>Access</t>
  </si>
  <si>
    <t>RW</t>
  </si>
  <si>
    <t>No default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</si>
</sst>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dd\-mmm\-yy"/>
    <numFmt numFmtId="171" formatCode="&quot;Yes&quot;;&quot;Yes&quot;;&quot;No&quot;"/>
    <numFmt numFmtId="172" formatCode="&quot;True&quot;;&quot;True&quot;;&quot;False&quot;"/>
    <numFmt numFmtId="173" formatCode="&quot;On&quot;;&quot;On&quot;;&quot;Off&quot;"/>
    <numFmt numFmtId="174" formatCode="[$€-2]\ #,##0.00_);[Red]\([$€-2]\ #,##0.00\)"/>
    <numFmt numFmtId="175" formatCode="mmmm\ d\,\ yyyy"/>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quot;R$ &quot;* #,##0.00_);_(&quot;R$ &quot;* \(#,##0.00\);_(&quot;R$ &quot;* &quot;-&quot;??_);_(@_)"/>
    <numFmt numFmtId="182" formatCode="0.0"/>
    <numFmt numFmtId="183" formatCode="[$-409]dddd\,\ mmmm\ dd\,\ yyyy"/>
    <numFmt numFmtId="184" formatCode="[$-409]h:mm:ss\ AM/PM"/>
    <numFmt numFmtId="185" formatCode="00000"/>
    <numFmt numFmtId="186" formatCode="00000\-0000"/>
    <numFmt numFmtId="187" formatCode="[&lt;=9999999]###\-####;\(###\)\ ###\-####"/>
    <numFmt numFmtId="188" formatCode="0.000"/>
    <numFmt numFmtId="189" formatCode="[$-416]dddd\,\ d&quot; de &quot;mmmm&quot; de &quot;yyyy"/>
    <numFmt numFmtId="190" formatCode="[$-409]d\-mmm\-yyyy;@"/>
    <numFmt numFmtId="191" formatCode="#####"/>
    <numFmt numFmtId="192" formatCode="000000"/>
    <numFmt numFmtId="193" formatCode="00000000"/>
    <numFmt numFmtId="194" formatCode="000"/>
    <numFmt numFmtId="195" formatCode="00"/>
    <numFmt numFmtId="196" formatCode="0000"/>
    <numFmt numFmtId="197" formatCode="0000000000"/>
    <numFmt numFmtId="198" formatCode="######"/>
    <numFmt numFmtId="199" formatCode="0000000000000000"/>
  </numFmts>
  <fonts count="38">
    <font>
      <sz val="10"/>
      <name val="Arial"/>
      <family val="0"/>
    </font>
    <font>
      <u val="single"/>
      <sz val="10"/>
      <color indexed="20"/>
      <name val="Arial"/>
      <family val="0"/>
    </font>
    <font>
      <u val="single"/>
      <sz val="10"/>
      <color indexed="12"/>
      <name val="Arial"/>
      <family val="0"/>
    </font>
    <font>
      <b/>
      <sz val="18"/>
      <name val="Arial"/>
      <family val="2"/>
    </font>
    <font>
      <sz val="14"/>
      <name val="Arial"/>
      <family val="0"/>
    </font>
    <font>
      <b/>
      <sz val="14"/>
      <name val="Arial"/>
      <family val="2"/>
    </font>
    <font>
      <b/>
      <sz val="10"/>
      <name val="Arial"/>
      <family val="2"/>
    </font>
    <font>
      <sz val="8"/>
      <name val="Arial"/>
      <family val="0"/>
    </font>
    <font>
      <sz val="10"/>
      <name val="Times New Roman"/>
      <family val="1"/>
    </font>
    <font>
      <b/>
      <sz val="20"/>
      <name val="Arial"/>
      <family val="2"/>
    </font>
    <font>
      <b/>
      <sz val="8"/>
      <color indexed="8"/>
      <name val="Tahoma"/>
      <family val="0"/>
    </font>
    <font>
      <sz val="8"/>
      <color indexed="8"/>
      <name val="Tahoma"/>
      <family val="0"/>
    </font>
    <font>
      <sz val="10"/>
      <color indexed="57"/>
      <name val="Arial"/>
      <family val="0"/>
    </font>
    <font>
      <sz val="10"/>
      <color indexed="48"/>
      <name val="Arial"/>
      <family val="0"/>
    </font>
    <font>
      <sz val="10"/>
      <color indexed="10"/>
      <name val="Arial"/>
      <family val="0"/>
    </font>
    <font>
      <sz val="10"/>
      <color indexed="52"/>
      <name val="Arial"/>
      <family val="0"/>
    </font>
    <font>
      <sz val="10"/>
      <color indexed="61"/>
      <name val="Arial"/>
      <family val="0"/>
    </font>
    <font>
      <sz val="10"/>
      <color indexed="23"/>
      <name val="Arial"/>
      <family val="0"/>
    </font>
    <font>
      <b/>
      <sz val="16"/>
      <name val="Times New Roman"/>
      <family val="1"/>
    </font>
    <font>
      <sz val="16"/>
      <name val="Arial"/>
      <family val="0"/>
    </font>
    <font>
      <sz val="12"/>
      <name val="Times New Roman"/>
      <family val="1"/>
    </font>
    <font>
      <b/>
      <sz val="12"/>
      <name val="Times New Roman"/>
      <family val="1"/>
    </font>
    <font>
      <sz val="12"/>
      <name val="Arial"/>
      <family val="0"/>
    </font>
    <font>
      <sz val="8"/>
      <color indexed="8"/>
      <name val="Arial"/>
      <family val="2"/>
    </font>
    <font>
      <sz val="10"/>
      <name val="Comic Sans MS"/>
      <family val="4"/>
    </font>
    <font>
      <b/>
      <sz val="10"/>
      <name val="Comic Sans MS"/>
      <family val="4"/>
    </font>
    <font>
      <b/>
      <sz val="12"/>
      <name val="Courier New"/>
      <family val="3"/>
    </font>
    <font>
      <sz val="12"/>
      <name val="Courier New"/>
      <family val="3"/>
    </font>
    <font>
      <sz val="12"/>
      <color indexed="12"/>
      <name val="Courier New"/>
      <family val="3"/>
    </font>
    <font>
      <sz val="10"/>
      <name val="Courier New"/>
      <family val="3"/>
    </font>
    <font>
      <sz val="10"/>
      <name val="Tahoma"/>
      <family val="2"/>
    </font>
    <font>
      <sz val="10"/>
      <color indexed="12"/>
      <name val="Courier New"/>
      <family val="3"/>
    </font>
    <font>
      <b/>
      <sz val="10"/>
      <name val="Courier New"/>
      <family val="3"/>
    </font>
    <font>
      <b/>
      <sz val="10"/>
      <name val="Tahoma"/>
      <family val="2"/>
    </font>
    <font>
      <b/>
      <sz val="14"/>
      <name val="Tahoma"/>
      <family val="2"/>
    </font>
    <font>
      <sz val="10"/>
      <color indexed="8"/>
      <name val="MS Shell Dlg"/>
      <family val="0"/>
    </font>
    <font>
      <sz val="8"/>
      <name val="Tahoma"/>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51">
    <border>
      <left/>
      <right/>
      <top/>
      <bottom/>
      <diagonal/>
    </border>
    <border>
      <left style="thin"/>
      <right>
        <color indexed="63"/>
      </right>
      <top style="thin"/>
      <bottom>
        <color indexed="63"/>
      </bottom>
    </border>
    <border>
      <left style="thin"/>
      <right style="thin"/>
      <top style="thin"/>
      <bottom style="thin"/>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style="thin"/>
      <right style="thin"/>
      <top style="thin"/>
      <bottom>
        <color indexed="63"/>
      </bottom>
    </border>
    <border>
      <left style="thick"/>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color indexed="63"/>
      </top>
      <bottom>
        <color indexed="63"/>
      </bottom>
    </border>
    <border>
      <left style="medium"/>
      <right>
        <color indexed="63"/>
      </right>
      <top style="thin"/>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style="thick"/>
      <top style="thick"/>
      <bottom style="thin"/>
    </border>
    <border>
      <left>
        <color indexed="63"/>
      </left>
      <right>
        <color indexed="63"/>
      </right>
      <top style="medium"/>
      <bottom style="medium"/>
    </border>
    <border>
      <left style="thick"/>
      <right>
        <color indexed="63"/>
      </right>
      <top>
        <color indexed="63"/>
      </top>
      <bottom style="thin"/>
    </border>
    <border>
      <left>
        <color indexed="63"/>
      </left>
      <right style="thick"/>
      <top>
        <color indexed="63"/>
      </top>
      <bottom style="thin"/>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 borderId="1" applyFill="0" applyBorder="0" applyProtection="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4" fillId="0" borderId="0">
      <alignment/>
      <protection/>
    </xf>
    <xf numFmtId="9" fontId="0" fillId="0" borderId="0" applyFont="0" applyFill="0" applyBorder="0" applyAlignment="0" applyProtection="0"/>
  </cellStyleXfs>
  <cellXfs count="414">
    <xf numFmtId="0" fontId="0" fillId="0" borderId="0" xfId="0" applyAlignment="1">
      <alignment/>
    </xf>
    <xf numFmtId="2" fontId="0" fillId="3" borderId="2" xfId="0" applyNumberFormat="1" applyFill="1" applyBorder="1" applyAlignment="1">
      <alignment horizontal="left" vertical="center"/>
    </xf>
    <xf numFmtId="2" fontId="0" fillId="3" borderId="2" xfId="0" applyNumberFormat="1" applyFill="1" applyBorder="1" applyAlignment="1">
      <alignment horizontal="left" vertical="center" wrapText="1"/>
    </xf>
    <xf numFmtId="0" fontId="0" fillId="0" borderId="0" xfId="0" applyAlignment="1">
      <alignment wrapText="1"/>
    </xf>
    <xf numFmtId="0" fontId="0" fillId="0" borderId="0" xfId="0" applyFont="1" applyAlignment="1">
      <alignment/>
    </xf>
    <xf numFmtId="170" fontId="6" fillId="0" borderId="3" xfId="0" applyNumberFormat="1"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70" fontId="0" fillId="0" borderId="6" xfId="0" applyNumberFormat="1" applyBorder="1" applyAlignment="1">
      <alignment/>
    </xf>
    <xf numFmtId="0" fontId="0" fillId="0" borderId="7" xfId="0" applyBorder="1" applyAlignment="1">
      <alignment/>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0" xfId="0" applyBorder="1" applyAlignment="1">
      <alignment/>
    </xf>
    <xf numFmtId="0" fontId="13" fillId="0" borderId="11" xfId="0" applyFont="1" applyBorder="1" applyAlignment="1">
      <alignment horizontal="left"/>
    </xf>
    <xf numFmtId="0" fontId="12" fillId="0" borderId="11" xfId="0" applyFont="1" applyBorder="1" applyAlignment="1">
      <alignment horizontal="center"/>
    </xf>
    <xf numFmtId="0" fontId="14" fillId="0" borderId="11" xfId="0" applyFont="1" applyBorder="1" applyAlignment="1">
      <alignment horizontal="left"/>
    </xf>
    <xf numFmtId="0" fontId="0" fillId="2" borderId="0" xfId="0" applyFill="1" applyBorder="1" applyAlignment="1">
      <alignment/>
    </xf>
    <xf numFmtId="0" fontId="15" fillId="0" borderId="11" xfId="0" applyFont="1" applyBorder="1" applyAlignment="1">
      <alignment horizontal="left"/>
    </xf>
    <xf numFmtId="0" fontId="0" fillId="2" borderId="0" xfId="0" applyFill="1" applyBorder="1" applyAlignment="1">
      <alignment horizontal="center"/>
    </xf>
    <xf numFmtId="0" fontId="0" fillId="0" borderId="0" xfId="0" applyFill="1" applyBorder="1" applyAlignment="1">
      <alignment/>
    </xf>
    <xf numFmtId="0" fontId="0" fillId="0" borderId="9" xfId="0" applyBorder="1" applyAlignment="1">
      <alignment/>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xf>
    <xf numFmtId="0" fontId="16" fillId="0" borderId="11" xfId="0" applyFont="1" applyBorder="1" applyAlignment="1">
      <alignment horizontal="left"/>
    </xf>
    <xf numFmtId="0" fontId="17" fillId="0" borderId="14" xfId="0" applyFont="1" applyBorder="1" applyAlignment="1">
      <alignment/>
    </xf>
    <xf numFmtId="0" fontId="8" fillId="2" borderId="0" xfId="0" applyFont="1" applyFill="1" applyBorder="1" applyAlignment="1">
      <alignment/>
    </xf>
    <xf numFmtId="0" fontId="0" fillId="0" borderId="0" xfId="0" applyAlignment="1">
      <alignment horizontal="left"/>
    </xf>
    <xf numFmtId="49" fontId="0" fillId="0" borderId="0" xfId="0" applyNumberFormat="1" applyAlignment="1">
      <alignment/>
    </xf>
    <xf numFmtId="0" fontId="0" fillId="0" borderId="0" xfId="0" applyFont="1" applyBorder="1" applyAlignment="1">
      <alignment/>
    </xf>
    <xf numFmtId="0" fontId="0" fillId="0" borderId="12" xfId="0" applyBorder="1" applyAlignment="1">
      <alignment horizontal="center" vertical="center"/>
    </xf>
    <xf numFmtId="0" fontId="0" fillId="0" borderId="15" xfId="0" applyBorder="1" applyAlignment="1">
      <alignment/>
    </xf>
    <xf numFmtId="0" fontId="0" fillId="0" borderId="0" xfId="0" applyFill="1" applyAlignment="1">
      <alignment horizontal="left"/>
    </xf>
    <xf numFmtId="0" fontId="0" fillId="0" borderId="0" xfId="0" applyBorder="1" applyAlignment="1">
      <alignment/>
    </xf>
    <xf numFmtId="0" fontId="0" fillId="0" borderId="2" xfId="0" applyBorder="1" applyAlignment="1">
      <alignment/>
    </xf>
    <xf numFmtId="0" fontId="0" fillId="0" borderId="15" xfId="0" applyFont="1" applyBorder="1" applyAlignment="1">
      <alignment/>
    </xf>
    <xf numFmtId="0" fontId="0" fillId="3" borderId="0" xfId="0" applyFont="1" applyFill="1" applyBorder="1" applyAlignment="1">
      <alignment horizontal="left"/>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horizontal="center"/>
    </xf>
    <xf numFmtId="0" fontId="0" fillId="0" borderId="0" xfId="0" applyFill="1" applyBorder="1" applyAlignment="1">
      <alignment/>
    </xf>
    <xf numFmtId="0" fontId="0" fillId="3" borderId="2" xfId="0" applyFill="1" applyBorder="1" applyAlignment="1">
      <alignment/>
    </xf>
    <xf numFmtId="0" fontId="0" fillId="3" borderId="17" xfId="0" applyFill="1" applyBorder="1" applyAlignment="1">
      <alignment/>
    </xf>
    <xf numFmtId="0" fontId="0" fillId="0" borderId="2" xfId="0" applyBorder="1" applyAlignment="1">
      <alignment/>
    </xf>
    <xf numFmtId="0" fontId="0" fillId="0" borderId="17" xfId="0" applyBorder="1" applyAlignment="1">
      <alignment/>
    </xf>
    <xf numFmtId="0" fontId="0" fillId="0" borderId="0" xfId="0" applyFill="1" applyAlignment="1">
      <alignment wrapText="1"/>
    </xf>
    <xf numFmtId="0" fontId="0" fillId="0" borderId="6" xfId="0" applyBorder="1" applyAlignment="1">
      <alignment/>
    </xf>
    <xf numFmtId="0" fontId="0" fillId="0" borderId="0" xfId="0" applyAlignment="1">
      <alignment vertical="top" wrapText="1"/>
    </xf>
    <xf numFmtId="0" fontId="21" fillId="0" borderId="0" xfId="0" applyFont="1" applyBorder="1" applyAlignment="1">
      <alignment horizontal="left" vertical="top" wrapText="1" indent="5"/>
    </xf>
    <xf numFmtId="0" fontId="0" fillId="0" borderId="0" xfId="0" applyBorder="1" applyAlignment="1">
      <alignment horizontal="left" vertical="top" wrapText="1" indent="5"/>
    </xf>
    <xf numFmtId="0" fontId="21" fillId="0" borderId="18" xfId="0" applyFont="1" applyBorder="1" applyAlignment="1">
      <alignment horizontal="left" vertical="top" wrapText="1" indent="5"/>
    </xf>
    <xf numFmtId="0" fontId="23" fillId="0" borderId="0" xfId="0" applyFont="1" applyAlignment="1" applyProtection="1">
      <alignment horizontal="left" vertical="top" wrapText="1"/>
      <protection/>
    </xf>
    <xf numFmtId="0" fontId="23" fillId="0" borderId="0" xfId="0" applyFont="1" applyAlignment="1">
      <alignment horizontal="left" vertical="top" wrapText="1"/>
    </xf>
    <xf numFmtId="0" fontId="0" fillId="0" borderId="0" xfId="0" applyAlignment="1">
      <alignment horizontal="center" vertical="top" wrapText="1"/>
    </xf>
    <xf numFmtId="3" fontId="0" fillId="0" borderId="0" xfId="0" applyNumberFormat="1" applyAlignment="1">
      <alignment vertical="top" wrapText="1"/>
    </xf>
    <xf numFmtId="3" fontId="0" fillId="0" borderId="0" xfId="0" applyNumberFormat="1" applyAlignment="1">
      <alignment horizontal="center" vertical="top" wrapText="1"/>
    </xf>
    <xf numFmtId="0" fontId="0" fillId="0" borderId="19" xfId="0" applyBorder="1" applyAlignment="1">
      <alignment horizontal="left" vertical="top" wrapText="1" indent="5"/>
    </xf>
    <xf numFmtId="0" fontId="0" fillId="0" borderId="20" xfId="0" applyBorder="1" applyAlignment="1">
      <alignment horizontal="left" vertical="top" wrapText="1" indent="5"/>
    </xf>
    <xf numFmtId="0" fontId="0" fillId="2" borderId="12" xfId="0" applyFont="1" applyFill="1" applyBorder="1" applyAlignment="1">
      <alignment vertical="center"/>
    </xf>
    <xf numFmtId="0" fontId="0" fillId="2" borderId="21" xfId="0" applyFont="1" applyFill="1" applyBorder="1" applyAlignment="1">
      <alignment vertical="center"/>
    </xf>
    <xf numFmtId="0" fontId="6" fillId="0" borderId="2" xfId="0" applyFont="1" applyBorder="1" applyAlignment="1">
      <alignment horizontal="center"/>
    </xf>
    <xf numFmtId="0" fontId="0" fillId="0" borderId="2" xfId="0" applyBorder="1" applyAlignment="1">
      <alignment horizontal="left" vertical="center"/>
    </xf>
    <xf numFmtId="0" fontId="0" fillId="0" borderId="21" xfId="0" applyBorder="1" applyAlignment="1">
      <alignment horizontal="left" vertical="center" wrapText="1"/>
    </xf>
    <xf numFmtId="0" fontId="0" fillId="0" borderId="12" xfId="0" applyBorder="1" applyAlignment="1">
      <alignment horizontal="left" vertical="center"/>
    </xf>
    <xf numFmtId="0" fontId="0" fillId="0" borderId="2" xfId="0" applyBorder="1" applyAlignment="1">
      <alignment horizontal="left" vertical="center" wrapText="1"/>
    </xf>
    <xf numFmtId="0" fontId="0" fillId="0" borderId="21" xfId="0" applyBorder="1" applyAlignment="1">
      <alignment horizontal="left" vertical="center"/>
    </xf>
    <xf numFmtId="0" fontId="5" fillId="3" borderId="2" xfId="0" applyFont="1" applyFill="1" applyBorder="1" applyAlignment="1">
      <alignment horizontal="center"/>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xf numFmtId="2" fontId="0" fillId="0" borderId="1" xfId="0" applyNumberFormat="1" applyFill="1" applyBorder="1" applyAlignment="1">
      <alignment horizontal="left" vertical="center"/>
    </xf>
    <xf numFmtId="0" fontId="0" fillId="0" borderId="8" xfId="0" applyFill="1" applyBorder="1" applyAlignment="1">
      <alignment horizontal="left" vertical="center" wrapText="1"/>
    </xf>
    <xf numFmtId="0" fontId="0" fillId="0" borderId="8" xfId="0" applyFill="1" applyBorder="1" applyAlignment="1">
      <alignment horizontal="center" vertical="center"/>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ill="1" applyAlignment="1">
      <alignment/>
    </xf>
    <xf numFmtId="49" fontId="0" fillId="0" borderId="0" xfId="0" applyNumberForma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xf>
    <xf numFmtId="0" fontId="0" fillId="0" borderId="0" xfId="0" applyFill="1" applyBorder="1" applyAlignment="1">
      <alignment horizontal="center"/>
    </xf>
    <xf numFmtId="0" fontId="0" fillId="2" borderId="2" xfId="0" applyFont="1" applyFill="1" applyBorder="1" applyAlignment="1">
      <alignment horizontal="left" vertical="center" wrapText="1"/>
    </xf>
    <xf numFmtId="0" fontId="0" fillId="0" borderId="12" xfId="0" applyBorder="1" applyAlignment="1">
      <alignment/>
    </xf>
    <xf numFmtId="0" fontId="0" fillId="2" borderId="2" xfId="0" applyFill="1" applyBorder="1" applyAlignment="1">
      <alignment wrapText="1"/>
    </xf>
    <xf numFmtId="170" fontId="6" fillId="0" borderId="4" xfId="0" applyNumberFormat="1" applyFont="1" applyBorder="1" applyAlignment="1">
      <alignment horizontal="center"/>
    </xf>
    <xf numFmtId="170" fontId="0" fillId="0" borderId="7" xfId="0" applyNumberFormat="1" applyBorder="1" applyAlignment="1">
      <alignment/>
    </xf>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center"/>
    </xf>
    <xf numFmtId="0" fontId="0" fillId="0" borderId="0" xfId="0" applyAlignment="1" quotePrefix="1">
      <alignment/>
    </xf>
    <xf numFmtId="0" fontId="0" fillId="0" borderId="2" xfId="0" applyBorder="1" applyAlignment="1">
      <alignment wrapText="1"/>
    </xf>
    <xf numFmtId="0" fontId="0" fillId="0" borderId="22" xfId="0" applyFill="1" applyBorder="1" applyAlignment="1">
      <alignment/>
    </xf>
    <xf numFmtId="49" fontId="0" fillId="0" borderId="0" xfId="0" applyNumberFormat="1" applyFill="1" applyBorder="1" applyAlignment="1">
      <alignment/>
    </xf>
    <xf numFmtId="49" fontId="0" fillId="0" borderId="0" xfId="0" applyNumberFormat="1" applyFill="1" applyAlignment="1">
      <alignment/>
    </xf>
    <xf numFmtId="0" fontId="6" fillId="0" borderId="2" xfId="0" applyFont="1" applyBorder="1" applyAlignment="1">
      <alignment horizontal="left" vertical="center" wrapText="1"/>
    </xf>
    <xf numFmtId="0" fontId="25" fillId="4" borderId="2" xfId="0" applyFont="1" applyFill="1" applyBorder="1" applyAlignment="1">
      <alignment horizontal="center" wrapText="1"/>
    </xf>
    <xf numFmtId="199" fontId="25" fillId="4" borderId="2" xfId="0" applyNumberFormat="1" applyFont="1" applyFill="1" applyBorder="1" applyAlignment="1">
      <alignment horizontal="center" wrapText="1"/>
    </xf>
    <xf numFmtId="0" fontId="25" fillId="4" borderId="2" xfId="0" applyFont="1" applyFill="1" applyBorder="1" applyAlignment="1">
      <alignment horizontal="left" wrapText="1"/>
    </xf>
    <xf numFmtId="0" fontId="26" fillId="4" borderId="0" xfId="23" applyFont="1" applyFill="1" applyBorder="1" applyAlignment="1">
      <alignment horizontal="center"/>
      <protection/>
    </xf>
    <xf numFmtId="0" fontId="27" fillId="0" borderId="0" xfId="23" applyFont="1" applyFill="1" applyBorder="1" applyAlignment="1">
      <alignment horizontal="center"/>
      <protection/>
    </xf>
    <xf numFmtId="199" fontId="27" fillId="0" borderId="0" xfId="23" applyNumberFormat="1" applyFont="1" applyFill="1" applyBorder="1" applyAlignment="1">
      <alignment horizontal="left"/>
      <protection/>
    </xf>
    <xf numFmtId="0" fontId="27" fillId="0" borderId="0" xfId="23" applyFont="1" applyFill="1" applyBorder="1" applyAlignment="1">
      <alignment horizontal="left"/>
      <protection/>
    </xf>
    <xf numFmtId="0" fontId="27" fillId="0" borderId="0" xfId="23" applyFont="1" applyFill="1" applyBorder="1">
      <alignment/>
      <protection/>
    </xf>
    <xf numFmtId="49" fontId="27" fillId="0" borderId="0" xfId="23" applyNumberFormat="1" applyFont="1" applyFill="1" applyBorder="1" applyAlignment="1">
      <alignment horizontal="center"/>
      <protection/>
    </xf>
    <xf numFmtId="49" fontId="27" fillId="0" borderId="0" xfId="23" applyNumberFormat="1" applyFont="1" applyFill="1" applyBorder="1" applyAlignment="1">
      <alignment horizontal="left"/>
      <protection/>
    </xf>
    <xf numFmtId="0" fontId="28" fillId="0" borderId="0" xfId="23" applyFont="1" applyFill="1" applyBorder="1">
      <alignment/>
      <protection/>
    </xf>
    <xf numFmtId="49" fontId="0" fillId="0" borderId="2" xfId="0" applyNumberFormat="1" applyFill="1" applyBorder="1" applyAlignment="1">
      <alignment/>
    </xf>
    <xf numFmtId="0" fontId="29" fillId="0" borderId="2" xfId="0" applyFont="1" applyFill="1" applyBorder="1" applyAlignment="1">
      <alignment horizontal="left" vertical="center" wrapText="1"/>
    </xf>
    <xf numFmtId="0" fontId="27" fillId="0" borderId="2"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applyAlignment="1">
      <alignment horizontal="left" wrapText="1"/>
    </xf>
    <xf numFmtId="0" fontId="27" fillId="0" borderId="2" xfId="0" applyFont="1" applyFill="1" applyBorder="1" applyAlignment="1">
      <alignment horizontal="left" vertical="center" wrapText="1"/>
    </xf>
    <xf numFmtId="0" fontId="27" fillId="0" borderId="2" xfId="0" applyFont="1" applyFill="1" applyBorder="1" applyAlignment="1">
      <alignment horizontal="left" wrapText="1"/>
    </xf>
    <xf numFmtId="0" fontId="27" fillId="0" borderId="2" xfId="0" applyFont="1" applyFill="1" applyBorder="1" applyAlignment="1">
      <alignment/>
    </xf>
    <xf numFmtId="0" fontId="0" fillId="0" borderId="2" xfId="0" applyFont="1" applyFill="1" applyBorder="1" applyAlignment="1">
      <alignment/>
    </xf>
    <xf numFmtId="49" fontId="26" fillId="0" borderId="0" xfId="23" applyNumberFormat="1" applyFont="1" applyFill="1" applyBorder="1" applyAlignment="1">
      <alignment horizontal="center"/>
      <protection/>
    </xf>
    <xf numFmtId="0" fontId="26" fillId="0" borderId="0" xfId="23" applyFont="1" applyFill="1" applyBorder="1" applyAlignment="1">
      <alignment horizontal="center"/>
      <protection/>
    </xf>
    <xf numFmtId="0" fontId="0" fillId="0" borderId="2" xfId="0"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xf>
    <xf numFmtId="0" fontId="29" fillId="0" borderId="2" xfId="0" applyFont="1" applyFill="1" applyBorder="1" applyAlignment="1">
      <alignment horizontal="center"/>
    </xf>
    <xf numFmtId="49" fontId="29" fillId="0" borderId="2" xfId="0" applyNumberFormat="1" applyFont="1" applyBorder="1" applyAlignment="1">
      <alignment horizontal="left"/>
    </xf>
    <xf numFmtId="0" fontId="29" fillId="0" borderId="2" xfId="0" applyFont="1" applyBorder="1" applyAlignment="1">
      <alignment horizontal="left"/>
    </xf>
    <xf numFmtId="49" fontId="29" fillId="0" borderId="2" xfId="23" applyNumberFormat="1" applyFont="1" applyFill="1" applyBorder="1" applyAlignment="1">
      <alignment horizontal="center"/>
      <protection/>
    </xf>
    <xf numFmtId="49" fontId="29" fillId="0" borderId="2" xfId="23" applyNumberFormat="1" applyFont="1" applyFill="1" applyBorder="1" applyAlignment="1">
      <alignment horizontal="left"/>
      <protection/>
    </xf>
    <xf numFmtId="0" fontId="29" fillId="0" borderId="2" xfId="23" applyFont="1" applyFill="1" applyBorder="1" applyAlignment="1">
      <alignment horizontal="left"/>
      <protection/>
    </xf>
    <xf numFmtId="0" fontId="29" fillId="0" borderId="2" xfId="23" applyFont="1" applyFill="1" applyBorder="1" applyAlignment="1">
      <alignment horizontal="center"/>
      <protection/>
    </xf>
    <xf numFmtId="49" fontId="29" fillId="0" borderId="2" xfId="0" applyNumberFormat="1" applyFont="1" applyFill="1" applyBorder="1" applyAlignment="1">
      <alignment/>
    </xf>
    <xf numFmtId="199" fontId="29" fillId="0" borderId="2" xfId="23" applyNumberFormat="1" applyFont="1" applyFill="1" applyBorder="1" applyAlignment="1">
      <alignment horizontal="left"/>
      <protection/>
    </xf>
    <xf numFmtId="0" fontId="29" fillId="0" borderId="2" xfId="23" applyFont="1" applyFill="1" applyBorder="1">
      <alignment/>
      <protection/>
    </xf>
    <xf numFmtId="0" fontId="31" fillId="5" borderId="2" xfId="23" applyFont="1" applyFill="1" applyBorder="1">
      <alignment/>
      <protection/>
    </xf>
    <xf numFmtId="49" fontId="31" fillId="5" borderId="2" xfId="23" applyNumberFormat="1" applyFont="1" applyFill="1" applyBorder="1" applyAlignment="1">
      <alignment horizontal="left"/>
      <protection/>
    </xf>
    <xf numFmtId="0" fontId="29" fillId="0" borderId="2" xfId="23" applyFont="1" applyFill="1" applyBorder="1" applyAlignment="1">
      <alignment horizontal="left" wrapText="1"/>
      <protection/>
    </xf>
    <xf numFmtId="0" fontId="29" fillId="6" borderId="2" xfId="23" applyFont="1" applyFill="1" applyBorder="1" applyAlignment="1">
      <alignment horizontal="center"/>
      <protection/>
    </xf>
    <xf numFmtId="0" fontId="0" fillId="0" borderId="2" xfId="0" applyBorder="1" applyAlignment="1">
      <alignment horizontal="left"/>
    </xf>
    <xf numFmtId="49" fontId="27" fillId="0" borderId="2" xfId="0" applyNumberFormat="1" applyFont="1" applyFill="1" applyBorder="1" applyAlignment="1" applyProtection="1">
      <alignment horizontal="left"/>
      <protection/>
    </xf>
    <xf numFmtId="0" fontId="27" fillId="0" borderId="2" xfId="23" applyFont="1" applyFill="1" applyBorder="1">
      <alignment/>
      <protection/>
    </xf>
    <xf numFmtId="49" fontId="27" fillId="0" borderId="2" xfId="23" applyNumberFormat="1" applyFont="1" applyFill="1" applyBorder="1" applyAlignment="1">
      <alignment horizontal="center"/>
      <protection/>
    </xf>
    <xf numFmtId="49" fontId="27" fillId="0" borderId="2" xfId="23" applyNumberFormat="1" applyFont="1" applyFill="1" applyBorder="1" applyAlignment="1">
      <alignment horizontal="left"/>
      <protection/>
    </xf>
    <xf numFmtId="0" fontId="28" fillId="5" borderId="2" xfId="23" applyFont="1" applyFill="1" applyBorder="1">
      <alignment/>
      <protection/>
    </xf>
    <xf numFmtId="49" fontId="28" fillId="5" borderId="2" xfId="23" applyNumberFormat="1" applyFont="1" applyFill="1" applyBorder="1" applyAlignment="1">
      <alignment horizontal="left"/>
      <protection/>
    </xf>
    <xf numFmtId="0" fontId="28" fillId="5" borderId="2" xfId="23" applyFont="1" applyFill="1" applyBorder="1" applyAlignment="1">
      <alignment horizontal="center"/>
      <protection/>
    </xf>
    <xf numFmtId="199" fontId="28" fillId="5" borderId="2" xfId="23" applyNumberFormat="1" applyFont="1" applyFill="1" applyBorder="1" applyAlignment="1">
      <alignment horizontal="left"/>
      <protection/>
    </xf>
    <xf numFmtId="0" fontId="28" fillId="5" borderId="2" xfId="23" applyFont="1" applyFill="1" applyBorder="1" applyAlignment="1">
      <alignment horizontal="left"/>
      <protection/>
    </xf>
    <xf numFmtId="0" fontId="28" fillId="0" borderId="2" xfId="23" applyFont="1" applyFill="1" applyBorder="1">
      <alignment/>
      <protection/>
    </xf>
    <xf numFmtId="0" fontId="27" fillId="0" borderId="2" xfId="23" applyNumberFormat="1" applyFont="1" applyFill="1" applyBorder="1" applyAlignment="1">
      <alignment horizontal="left"/>
      <protection/>
    </xf>
    <xf numFmtId="0" fontId="27" fillId="0" borderId="2" xfId="23" applyFont="1" applyFill="1" applyBorder="1" applyAlignment="1">
      <alignment horizontal="center"/>
      <protection/>
    </xf>
    <xf numFmtId="0" fontId="27" fillId="0" borderId="2" xfId="23" applyFont="1" applyFill="1" applyBorder="1" applyAlignment="1">
      <alignment horizontal="left"/>
      <protection/>
    </xf>
    <xf numFmtId="0" fontId="27" fillId="5" borderId="2" xfId="23" applyFont="1" applyFill="1" applyBorder="1" applyAlignment="1">
      <alignment horizontal="center"/>
      <protection/>
    </xf>
    <xf numFmtId="199" fontId="27" fillId="5" borderId="2" xfId="23" applyNumberFormat="1" applyFont="1" applyFill="1" applyBorder="1" applyAlignment="1">
      <alignment horizontal="left"/>
      <protection/>
    </xf>
    <xf numFmtId="0" fontId="27" fillId="5" borderId="2" xfId="23" applyFont="1" applyFill="1" applyBorder="1">
      <alignment/>
      <protection/>
    </xf>
    <xf numFmtId="0" fontId="27" fillId="5" borderId="2" xfId="23" applyFont="1" applyFill="1" applyBorder="1" applyAlignment="1">
      <alignment horizontal="left"/>
      <protection/>
    </xf>
    <xf numFmtId="199" fontId="27" fillId="0" borderId="2" xfId="23" applyNumberFormat="1" applyFont="1" applyFill="1" applyBorder="1" applyAlignment="1">
      <alignment horizontal="left"/>
      <protection/>
    </xf>
    <xf numFmtId="199" fontId="27" fillId="3" borderId="2" xfId="23" applyNumberFormat="1" applyFont="1" applyFill="1" applyBorder="1" applyAlignment="1">
      <alignment horizontal="left"/>
      <protection/>
    </xf>
    <xf numFmtId="0" fontId="28" fillId="5" borderId="2" xfId="0" applyFont="1" applyFill="1" applyBorder="1" applyAlignment="1">
      <alignment horizontal="left"/>
    </xf>
    <xf numFmtId="0" fontId="0" fillId="0" borderId="2" xfId="0" applyFill="1" applyBorder="1" applyAlignment="1">
      <alignment vertical="center" wrapText="1"/>
    </xf>
    <xf numFmtId="0" fontId="0" fillId="5" borderId="2" xfId="0" applyFill="1" applyBorder="1" applyAlignment="1">
      <alignment vertical="center"/>
    </xf>
    <xf numFmtId="0" fontId="0" fillId="0" borderId="2" xfId="0" applyFill="1" applyBorder="1" applyAlignment="1">
      <alignment vertical="center"/>
    </xf>
    <xf numFmtId="49" fontId="27" fillId="5" borderId="2" xfId="23" applyNumberFormat="1" applyFont="1" applyFill="1" applyBorder="1" applyAlignment="1">
      <alignment horizontal="left"/>
      <protection/>
    </xf>
    <xf numFmtId="0" fontId="27" fillId="5" borderId="2" xfId="22" applyFont="1" applyFill="1" applyBorder="1">
      <alignment/>
      <protection/>
    </xf>
    <xf numFmtId="0" fontId="27" fillId="0" borderId="2" xfId="22" applyFont="1" applyFill="1" applyBorder="1">
      <alignment/>
      <protection/>
    </xf>
    <xf numFmtId="0" fontId="28" fillId="0" borderId="2" xfId="23" applyFont="1" applyFill="1" applyBorder="1" applyAlignment="1">
      <alignment horizontal="center"/>
      <protection/>
    </xf>
    <xf numFmtId="199" fontId="28" fillId="0" borderId="2" xfId="23" applyNumberFormat="1" applyFont="1" applyFill="1" applyBorder="1" applyAlignment="1">
      <alignment horizontal="left"/>
      <protection/>
    </xf>
    <xf numFmtId="0" fontId="28" fillId="0" borderId="2" xfId="0" applyFont="1" applyFill="1" applyBorder="1" applyAlignment="1">
      <alignment horizontal="left"/>
    </xf>
    <xf numFmtId="0" fontId="30" fillId="0" borderId="2" xfId="0" applyFont="1" applyBorder="1" applyAlignment="1">
      <alignment/>
    </xf>
    <xf numFmtId="0" fontId="0" fillId="0" borderId="2" xfId="0" applyFill="1" applyBorder="1" applyAlignment="1">
      <alignment horizontal="left" wrapText="1"/>
    </xf>
    <xf numFmtId="0" fontId="0" fillId="0" borderId="2" xfId="0" applyFont="1" applyBorder="1" applyAlignment="1">
      <alignment horizontal="left" wrapText="1"/>
    </xf>
    <xf numFmtId="0" fontId="29" fillId="0" borderId="0" xfId="0" applyFont="1" applyAlignment="1">
      <alignment/>
    </xf>
    <xf numFmtId="0" fontId="29" fillId="0" borderId="0" xfId="0" applyFont="1" applyFill="1" applyAlignment="1">
      <alignment/>
    </xf>
    <xf numFmtId="0" fontId="29" fillId="0" borderId="2" xfId="0" applyFont="1" applyBorder="1" applyAlignment="1">
      <alignment/>
    </xf>
    <xf numFmtId="0" fontId="32" fillId="0" borderId="2" xfId="0" applyFont="1" applyBorder="1" applyAlignment="1">
      <alignment/>
    </xf>
    <xf numFmtId="195" fontId="27" fillId="0" borderId="2" xfId="23" applyNumberFormat="1" applyFont="1" applyFill="1" applyBorder="1" applyAlignment="1">
      <alignment horizontal="left"/>
      <protection/>
    </xf>
    <xf numFmtId="0" fontId="24" fillId="0" borderId="2" xfId="0" applyFont="1" applyBorder="1" applyAlignment="1">
      <alignment horizontal="left"/>
    </xf>
    <xf numFmtId="49" fontId="27" fillId="0" borderId="0" xfId="0" applyNumberFormat="1" applyFont="1" applyFill="1" applyBorder="1" applyAlignment="1">
      <alignment horizontal="left"/>
    </xf>
    <xf numFmtId="49" fontId="28" fillId="6" borderId="2" xfId="22" applyNumberFormat="1" applyFont="1" applyFill="1" applyBorder="1">
      <alignment/>
      <protection/>
    </xf>
    <xf numFmtId="0" fontId="28" fillId="6" borderId="2" xfId="23" applyFont="1" applyFill="1" applyBorder="1" applyAlignment="1">
      <alignment horizontal="center"/>
      <protection/>
    </xf>
    <xf numFmtId="199" fontId="27" fillId="6" borderId="2" xfId="23" applyNumberFormat="1" applyFont="1" applyFill="1" applyBorder="1" applyAlignment="1">
      <alignment horizontal="left"/>
      <protection/>
    </xf>
    <xf numFmtId="0" fontId="28" fillId="6" borderId="2" xfId="0" applyFont="1" applyFill="1" applyBorder="1" applyAlignment="1">
      <alignment/>
    </xf>
    <xf numFmtId="0" fontId="28" fillId="6" borderId="2" xfId="0" applyFont="1" applyFill="1" applyBorder="1" applyAlignment="1">
      <alignment horizontal="center"/>
    </xf>
    <xf numFmtId="49" fontId="28" fillId="6" borderId="2" xfId="0" applyNumberFormat="1" applyFont="1" applyFill="1" applyBorder="1" applyAlignment="1">
      <alignment horizontal="left"/>
    </xf>
    <xf numFmtId="0" fontId="28" fillId="0" borderId="2" xfId="22" applyFont="1" applyFill="1" applyBorder="1">
      <alignment/>
      <protection/>
    </xf>
    <xf numFmtId="0" fontId="27" fillId="0" borderId="0" xfId="0" applyFont="1" applyFill="1" applyBorder="1" applyAlignment="1">
      <alignment/>
    </xf>
    <xf numFmtId="0" fontId="0" fillId="4" borderId="12" xfId="0" applyFont="1" applyFill="1" applyBorder="1" applyAlignment="1">
      <alignment vertical="center"/>
    </xf>
    <xf numFmtId="0" fontId="0" fillId="4" borderId="21" xfId="0" applyFont="1" applyFill="1" applyBorder="1" applyAlignment="1">
      <alignment vertical="center"/>
    </xf>
    <xf numFmtId="0" fontId="0" fillId="4" borderId="23" xfId="0" applyFont="1" applyFill="1" applyBorder="1" applyAlignment="1">
      <alignment vertical="center"/>
    </xf>
    <xf numFmtId="0" fontId="0" fillId="4" borderId="21" xfId="0" applyFont="1" applyFill="1" applyBorder="1" applyAlignment="1">
      <alignment vertical="center"/>
    </xf>
    <xf numFmtId="0" fontId="0" fillId="4" borderId="23" xfId="0" applyFont="1" applyFill="1" applyBorder="1" applyAlignment="1">
      <alignment vertical="center"/>
    </xf>
    <xf numFmtId="0" fontId="0" fillId="4" borderId="21" xfId="0" applyFont="1" applyFill="1" applyBorder="1" applyAlignment="1">
      <alignment vertical="center" wrapText="1"/>
    </xf>
    <xf numFmtId="0" fontId="0" fillId="4" borderId="23" xfId="0" applyFont="1" applyFill="1" applyBorder="1" applyAlignment="1">
      <alignmen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29" fillId="5" borderId="2" xfId="23" applyFont="1" applyFill="1" applyBorder="1" applyAlignment="1">
      <alignment horizontal="center"/>
      <protection/>
    </xf>
    <xf numFmtId="0" fontId="27" fillId="5" borderId="2" xfId="0" applyFont="1" applyFill="1" applyBorder="1" applyAlignment="1">
      <alignment horizontal="left"/>
    </xf>
    <xf numFmtId="0" fontId="27" fillId="0" borderId="2" xfId="0" applyFont="1" applyBorder="1" applyAlignment="1">
      <alignment horizontal="left"/>
    </xf>
    <xf numFmtId="49" fontId="27" fillId="0" borderId="2" xfId="0" applyNumberFormat="1" applyFont="1" applyBorder="1" applyAlignment="1">
      <alignment horizontal="left"/>
    </xf>
    <xf numFmtId="49" fontId="29" fillId="5" borderId="2" xfId="23" applyNumberFormat="1" applyFont="1" applyFill="1" applyBorder="1" applyAlignment="1">
      <alignment horizontal="center"/>
      <protection/>
    </xf>
    <xf numFmtId="199" fontId="29" fillId="5" borderId="2" xfId="23" applyNumberFormat="1" applyFont="1" applyFill="1" applyBorder="1" applyAlignment="1">
      <alignment horizontal="center"/>
      <protection/>
    </xf>
    <xf numFmtId="49" fontId="29" fillId="5" borderId="2" xfId="23" applyNumberFormat="1" applyFont="1" applyFill="1" applyBorder="1" applyAlignment="1">
      <alignment horizontal="left"/>
      <protection/>
    </xf>
    <xf numFmtId="49" fontId="27" fillId="5" borderId="2" xfId="23" applyNumberFormat="1" applyFont="1" applyFill="1" applyBorder="1" applyAlignment="1">
      <alignment horizontal="center"/>
      <protection/>
    </xf>
    <xf numFmtId="49" fontId="0" fillId="0" borderId="0" xfId="0" applyNumberFormat="1" applyAlignment="1">
      <alignment wrapText="1"/>
    </xf>
    <xf numFmtId="0" fontId="30" fillId="5" borderId="2" xfId="0" applyFont="1" applyFill="1" applyBorder="1" applyAlignment="1">
      <alignment/>
    </xf>
    <xf numFmtId="0" fontId="0" fillId="0" borderId="2" xfId="0"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2" xfId="0" applyNumberFormat="1" applyBorder="1" applyAlignment="1">
      <alignment horizontal="center" vertical="center"/>
    </xf>
    <xf numFmtId="2" fontId="0" fillId="0" borderId="2" xfId="0" applyNumberFormat="1" applyBorder="1" applyAlignment="1">
      <alignment horizontal="left" vertical="center"/>
    </xf>
    <xf numFmtId="49" fontId="6" fillId="0" borderId="0" xfId="0" applyNumberFormat="1" applyFont="1" applyAlignment="1">
      <alignment/>
    </xf>
    <xf numFmtId="0" fontId="0" fillId="0" borderId="24" xfId="0" applyBorder="1" applyAlignment="1">
      <alignment horizontal="left" vertical="center"/>
    </xf>
    <xf numFmtId="0" fontId="0" fillId="0" borderId="25" xfId="0" applyBorder="1" applyAlignment="1">
      <alignment horizontal="center" vertical="center"/>
    </xf>
    <xf numFmtId="0" fontId="6" fillId="0" borderId="0" xfId="0" applyFont="1" applyAlignment="1">
      <alignment/>
    </xf>
    <xf numFmtId="0" fontId="0" fillId="0" borderId="0" xfId="0" applyFont="1" applyAlignment="1">
      <alignment horizontal="left"/>
    </xf>
    <xf numFmtId="0" fontId="0" fillId="0" borderId="2" xfId="21" applyNumberFormat="1" applyFont="1" applyBorder="1" applyAlignment="1">
      <alignment horizontal="center" vertical="center"/>
    </xf>
    <xf numFmtId="0" fontId="28" fillId="6" borderId="2" xfId="22" applyNumberFormat="1" applyFont="1" applyFill="1" applyBorder="1">
      <alignment/>
      <protection/>
    </xf>
    <xf numFmtId="0" fontId="24" fillId="0" borderId="2" xfId="0" applyFont="1" applyFill="1" applyBorder="1" applyAlignment="1">
      <alignment/>
    </xf>
    <xf numFmtId="0" fontId="24" fillId="0" borderId="2" xfId="0" applyFont="1" applyBorder="1" applyAlignment="1">
      <alignment/>
    </xf>
    <xf numFmtId="49" fontId="24" fillId="0" borderId="2" xfId="0" applyNumberFormat="1" applyFont="1" applyFill="1" applyBorder="1" applyAlignment="1">
      <alignment horizontal="left"/>
    </xf>
    <xf numFmtId="0" fontId="35" fillId="0" borderId="2" xfId="0" applyFont="1" applyFill="1" applyBorder="1" applyAlignment="1">
      <alignment/>
    </xf>
    <xf numFmtId="0" fontId="27" fillId="0" borderId="2" xfId="23" applyNumberFormat="1" applyFont="1" applyFill="1" applyBorder="1">
      <alignment/>
      <protection/>
    </xf>
    <xf numFmtId="0" fontId="0" fillId="0" borderId="0" xfId="0" applyNumberFormat="1" applyAlignment="1">
      <alignment/>
    </xf>
    <xf numFmtId="0" fontId="0" fillId="0" borderId="0" xfId="0" applyNumberFormat="1" applyBorder="1" applyAlignment="1">
      <alignment/>
    </xf>
    <xf numFmtId="0" fontId="29" fillId="0" borderId="2" xfId="23" applyNumberFormat="1" applyFont="1" applyFill="1" applyBorder="1" applyAlignment="1">
      <alignment horizontal="left"/>
      <protection/>
    </xf>
    <xf numFmtId="0" fontId="27" fillId="0" borderId="2" xfId="0" applyNumberFormat="1" applyFont="1" applyBorder="1" applyAlignment="1">
      <alignment horizontal="left"/>
    </xf>
    <xf numFmtId="0" fontId="2" fillId="0" borderId="2" xfId="21" applyBorder="1" applyAlignment="1">
      <alignment horizontal="center" vertical="center"/>
    </xf>
    <xf numFmtId="0" fontId="0" fillId="0" borderId="2" xfId="0" applyFill="1" applyBorder="1" applyAlignment="1">
      <alignment/>
    </xf>
    <xf numFmtId="170" fontId="0" fillId="0" borderId="6" xfId="0" applyNumberFormat="1" applyBorder="1" applyAlignment="1">
      <alignment horizontal="center"/>
    </xf>
    <xf numFmtId="170" fontId="0" fillId="0" borderId="7" xfId="0" applyNumberFormat="1" applyBorder="1" applyAlignment="1">
      <alignment horizontal="center"/>
    </xf>
    <xf numFmtId="0" fontId="0" fillId="0" borderId="7" xfId="0" applyBorder="1" applyAlignment="1">
      <alignment horizontal="center"/>
    </xf>
    <xf numFmtId="0" fontId="3" fillId="3" borderId="8"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5" fillId="3" borderId="2" xfId="0" applyFont="1" applyFill="1" applyBorder="1" applyAlignment="1">
      <alignment horizontal="center"/>
    </xf>
    <xf numFmtId="0" fontId="6" fillId="0" borderId="2" xfId="0" applyFont="1" applyBorder="1" applyAlignment="1">
      <alignment horizontal="center"/>
    </xf>
    <xf numFmtId="0" fontId="3" fillId="3" borderId="1" xfId="0" applyFont="1" applyFill="1" applyBorder="1" applyAlignment="1">
      <alignment horizontal="center"/>
    </xf>
    <xf numFmtId="0" fontId="0" fillId="0" borderId="23" xfId="0" applyBorder="1" applyAlignment="1">
      <alignment/>
    </xf>
    <xf numFmtId="0" fontId="0" fillId="0" borderId="13" xfId="0" applyBorder="1" applyAlignment="1">
      <alignment horizont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left" vertical="center" wrapText="1"/>
    </xf>
    <xf numFmtId="0" fontId="0" fillId="3" borderId="10" xfId="0" applyFill="1" applyBorder="1" applyAlignment="1">
      <alignment horizontal="center" wrapText="1"/>
    </xf>
    <xf numFmtId="0" fontId="0" fillId="0" borderId="21" xfId="0" applyBorder="1" applyAlignment="1">
      <alignment/>
    </xf>
    <xf numFmtId="0" fontId="0" fillId="3" borderId="1" xfId="0" applyFill="1" applyBorder="1" applyAlignment="1">
      <alignment horizontal="center" wrapText="1"/>
    </xf>
    <xf numFmtId="0" fontId="0" fillId="3" borderId="2" xfId="0" applyFill="1" applyBorder="1" applyAlignment="1">
      <alignment horizontal="center"/>
    </xf>
    <xf numFmtId="0" fontId="0" fillId="0" borderId="2" xfId="0" applyBorder="1" applyAlignment="1">
      <alignment horizontal="left"/>
    </xf>
    <xf numFmtId="0" fontId="0" fillId="0" borderId="2" xfId="0" applyFill="1" applyBorder="1" applyAlignment="1">
      <alignment horizontal="left"/>
    </xf>
    <xf numFmtId="49" fontId="0" fillId="0" borderId="12" xfId="0" applyNumberFormat="1" applyBorder="1" applyAlignment="1">
      <alignment horizontal="center"/>
    </xf>
    <xf numFmtId="49" fontId="0" fillId="0" borderId="21" xfId="0" applyNumberFormat="1" applyBorder="1" applyAlignment="1">
      <alignment horizontal="center"/>
    </xf>
    <xf numFmtId="49" fontId="0" fillId="0" borderId="23" xfId="0" applyNumberFormat="1" applyBorder="1" applyAlignment="1">
      <alignment horizontal="center"/>
    </xf>
    <xf numFmtId="0" fontId="0" fillId="0" borderId="12" xfId="0" applyBorder="1" applyAlignment="1">
      <alignment horizontal="left"/>
    </xf>
    <xf numFmtId="0" fontId="0" fillId="0" borderId="21" xfId="0" applyBorder="1" applyAlignment="1">
      <alignment horizontal="left"/>
    </xf>
    <xf numFmtId="0" fontId="0" fillId="0" borderId="23" xfId="0" applyBorder="1" applyAlignment="1">
      <alignment horizontal="left"/>
    </xf>
    <xf numFmtId="0" fontId="0" fillId="3" borderId="12" xfId="0" applyFill="1" applyBorder="1" applyAlignment="1">
      <alignment horizontal="center"/>
    </xf>
    <xf numFmtId="0" fontId="0" fillId="3" borderId="23" xfId="0" applyFill="1" applyBorder="1" applyAlignment="1">
      <alignment horizontal="center"/>
    </xf>
    <xf numFmtId="0" fontId="3" fillId="3" borderId="0" xfId="0" applyFont="1" applyFill="1" applyBorder="1" applyAlignment="1">
      <alignment horizontal="center"/>
    </xf>
    <xf numFmtId="0" fontId="3" fillId="3" borderId="9" xfId="0" applyFont="1" applyFill="1" applyBorder="1" applyAlignment="1">
      <alignment horizontal="center"/>
    </xf>
    <xf numFmtId="0" fontId="0" fillId="0" borderId="8" xfId="0" applyBorder="1" applyAlignment="1">
      <alignment horizontal="center"/>
    </xf>
    <xf numFmtId="0" fontId="3" fillId="3" borderId="2" xfId="0" applyFont="1" applyFill="1" applyBorder="1" applyAlignment="1">
      <alignment horizontal="center"/>
    </xf>
    <xf numFmtId="0" fontId="0" fillId="0" borderId="22" xfId="0" applyBorder="1" applyAlignment="1">
      <alignment horizontal="left" vertical="center"/>
    </xf>
    <xf numFmtId="0" fontId="0" fillId="0" borderId="11" xfId="0" applyBorder="1" applyAlignment="1">
      <alignment horizontal="left" vertical="center"/>
    </xf>
    <xf numFmtId="0" fontId="0" fillId="0" borderId="2" xfId="0" applyFont="1" applyFill="1" applyBorder="1" applyAlignment="1">
      <alignment horizontal="left" vertical="center" wrapText="1"/>
    </xf>
    <xf numFmtId="0" fontId="0" fillId="0" borderId="12" xfId="0" applyFont="1" applyFill="1" applyBorder="1" applyAlignment="1">
      <alignment horizontal="center" wrapText="1"/>
    </xf>
    <xf numFmtId="0" fontId="0" fillId="0" borderId="23" xfId="0" applyFont="1" applyFill="1" applyBorder="1" applyAlignment="1">
      <alignment horizontal="center" wrapText="1"/>
    </xf>
    <xf numFmtId="0" fontId="0" fillId="0" borderId="12" xfId="0" applyFont="1" applyFill="1" applyBorder="1" applyAlignment="1">
      <alignment horizontal="center"/>
    </xf>
    <xf numFmtId="0" fontId="0" fillId="0" borderId="23" xfId="0" applyFont="1" applyFill="1" applyBorder="1" applyAlignment="1">
      <alignment horizontal="center"/>
    </xf>
    <xf numFmtId="0" fontId="0" fillId="0" borderId="6" xfId="0" applyFont="1" applyFill="1" applyBorder="1" applyAlignment="1">
      <alignment horizontal="left" vertical="center" wrapText="1"/>
    </xf>
    <xf numFmtId="0" fontId="0" fillId="0" borderId="2" xfId="0" applyFont="1" applyBorder="1" applyAlignment="1">
      <alignment horizontal="left" vertical="center" wrapText="1"/>
    </xf>
    <xf numFmtId="0" fontId="5" fillId="3" borderId="12" xfId="0" applyFont="1" applyFill="1" applyBorder="1" applyAlignment="1">
      <alignment horizontal="center"/>
    </xf>
    <xf numFmtId="0" fontId="5" fillId="3" borderId="21" xfId="0" applyFont="1" applyFill="1" applyBorder="1" applyAlignment="1">
      <alignment horizontal="center"/>
    </xf>
    <xf numFmtId="0" fontId="0" fillId="0" borderId="21" xfId="0" applyBorder="1" applyAlignment="1">
      <alignment/>
    </xf>
    <xf numFmtId="0" fontId="0" fillId="0" borderId="23" xfId="0" applyBorder="1" applyAlignment="1">
      <alignment/>
    </xf>
    <xf numFmtId="0" fontId="0" fillId="0" borderId="1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4" borderId="12" xfId="0" applyFill="1" applyBorder="1" applyAlignment="1">
      <alignment horizontal="left" vertical="center" wrapText="1"/>
    </xf>
    <xf numFmtId="0" fontId="0" fillId="4" borderId="21" xfId="0" applyFill="1" applyBorder="1" applyAlignment="1">
      <alignment horizontal="left" vertical="center" wrapText="1"/>
    </xf>
    <xf numFmtId="0" fontId="0" fillId="4" borderId="23" xfId="0" applyFill="1" applyBorder="1" applyAlignment="1">
      <alignment horizontal="left"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6" borderId="12" xfId="0" applyFill="1" applyBorder="1" applyAlignment="1">
      <alignment horizontal="left" vertical="center" wrapText="1"/>
    </xf>
    <xf numFmtId="0" fontId="0" fillId="6" borderId="21" xfId="0" applyFill="1" applyBorder="1" applyAlignment="1">
      <alignment horizontal="left" vertical="center" wrapText="1"/>
    </xf>
    <xf numFmtId="0" fontId="0" fillId="6" borderId="23" xfId="0" applyFill="1" applyBorder="1" applyAlignment="1">
      <alignment horizontal="left" vertical="center" wrapText="1"/>
    </xf>
    <xf numFmtId="0" fontId="4" fillId="3" borderId="2" xfId="0" applyFont="1" applyFill="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0" fillId="4" borderId="2" xfId="0" applyFill="1" applyBorder="1" applyAlignment="1">
      <alignment horizontal="left" vertical="center" wrapText="1"/>
    </xf>
    <xf numFmtId="0" fontId="0" fillId="4" borderId="2" xfId="0" applyFill="1" applyBorder="1" applyAlignment="1">
      <alignment horizontal="lef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6" borderId="2" xfId="0" applyFill="1" applyBorder="1" applyAlignment="1">
      <alignment horizontal="left" vertical="center" wrapText="1"/>
    </xf>
    <xf numFmtId="0" fontId="0" fillId="6" borderId="2" xfId="0" applyFill="1" applyBorder="1" applyAlignment="1">
      <alignment horizontal="left" vertical="center"/>
    </xf>
    <xf numFmtId="0" fontId="0" fillId="0" borderId="2" xfId="0" applyBorder="1" applyAlignment="1">
      <alignment horizontal="center" vertical="center"/>
    </xf>
    <xf numFmtId="0" fontId="4" fillId="3" borderId="16" xfId="0" applyFont="1" applyFill="1" applyBorder="1" applyAlignment="1">
      <alignment horizontal="center"/>
    </xf>
    <xf numFmtId="0" fontId="4" fillId="3" borderId="6" xfId="0" applyFont="1" applyFill="1" applyBorder="1" applyAlignment="1">
      <alignment horizontal="center"/>
    </xf>
    <xf numFmtId="0" fontId="0" fillId="0" borderId="23" xfId="0" applyBorder="1" applyAlignment="1">
      <alignment horizontal="center"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0" fillId="0" borderId="21" xfId="0" applyBorder="1" applyAlignment="1">
      <alignment wrapText="1"/>
    </xf>
    <xf numFmtId="0" fontId="0" fillId="0" borderId="23" xfId="0" applyBorder="1" applyAlignment="1">
      <alignment wrapText="1"/>
    </xf>
    <xf numFmtId="0" fontId="5" fillId="3" borderId="26" xfId="0" applyFont="1" applyFill="1" applyBorder="1" applyAlignment="1">
      <alignment horizontal="center"/>
    </xf>
    <xf numFmtId="0" fontId="5" fillId="3" borderId="27" xfId="0" applyFont="1" applyFill="1" applyBorder="1" applyAlignment="1">
      <alignment horizontal="center"/>
    </xf>
    <xf numFmtId="0" fontId="0" fillId="0" borderId="27" xfId="0" applyBorder="1" applyAlignment="1">
      <alignment/>
    </xf>
    <xf numFmtId="0" fontId="0" fillId="0" borderId="28" xfId="0" applyBorder="1" applyAlignment="1">
      <alignment/>
    </xf>
    <xf numFmtId="0" fontId="0" fillId="0" borderId="2" xfId="0" applyFill="1" applyBorder="1" applyAlignment="1">
      <alignment horizontal="center" vertical="center"/>
    </xf>
    <xf numFmtId="0" fontId="0" fillId="0" borderId="2" xfId="0" applyBorder="1" applyAlignment="1">
      <alignment horizontal="center"/>
    </xf>
    <xf numFmtId="0" fontId="2" fillId="0" borderId="2" xfId="21" applyBorder="1" applyAlignment="1">
      <alignment horizontal="center" vertical="center"/>
    </xf>
    <xf numFmtId="0" fontId="0" fillId="0" borderId="2" xfId="0" applyFill="1" applyBorder="1" applyAlignment="1">
      <alignment horizontal="center"/>
    </xf>
    <xf numFmtId="0" fontId="0" fillId="4" borderId="12"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3" xfId="0" applyFill="1" applyBorder="1" applyAlignment="1">
      <alignment horizontal="center" vertical="center" wrapText="1"/>
    </xf>
    <xf numFmtId="0" fontId="0" fillId="3" borderId="12" xfId="0" applyFont="1" applyFill="1" applyBorder="1" applyAlignment="1">
      <alignment horizontal="center"/>
    </xf>
    <xf numFmtId="0" fontId="0" fillId="3" borderId="21" xfId="0" applyFont="1" applyFill="1" applyBorder="1" applyAlignment="1">
      <alignment horizontal="center"/>
    </xf>
    <xf numFmtId="0" fontId="0" fillId="3" borderId="23" xfId="0" applyFont="1" applyFill="1" applyBorder="1" applyAlignment="1">
      <alignment horizontal="center"/>
    </xf>
    <xf numFmtId="0" fontId="0" fillId="3" borderId="21" xfId="0" applyFill="1" applyBorder="1" applyAlignment="1">
      <alignment horizontal="center"/>
    </xf>
    <xf numFmtId="0" fontId="0" fillId="0" borderId="2" xfId="0" applyFont="1" applyBorder="1" applyAlignment="1">
      <alignment horizontal="center"/>
    </xf>
    <xf numFmtId="0" fontId="0" fillId="3" borderId="2" xfId="0" applyFont="1" applyFill="1" applyBorder="1" applyAlignment="1">
      <alignment horizontal="left"/>
    </xf>
    <xf numFmtId="0" fontId="0" fillId="3" borderId="12" xfId="0" applyFont="1" applyFill="1" applyBorder="1" applyAlignment="1">
      <alignment horizontal="left"/>
    </xf>
    <xf numFmtId="0" fontId="0" fillId="3" borderId="21" xfId="0" applyFont="1" applyFill="1" applyBorder="1" applyAlignment="1">
      <alignment horizontal="left"/>
    </xf>
    <xf numFmtId="0" fontId="0" fillId="0" borderId="12" xfId="0" applyBorder="1" applyAlignment="1">
      <alignment horizontal="center"/>
    </xf>
    <xf numFmtId="0" fontId="0" fillId="0" borderId="23" xfId="0" applyBorder="1" applyAlignment="1">
      <alignment horizontal="center"/>
    </xf>
    <xf numFmtId="0" fontId="6" fillId="3" borderId="2" xfId="0" applyFont="1" applyFill="1" applyBorder="1" applyAlignment="1">
      <alignment horizontal="center"/>
    </xf>
    <xf numFmtId="0" fontId="0" fillId="3" borderId="29" xfId="0" applyFont="1" applyFill="1" applyBorder="1" applyAlignment="1">
      <alignment horizontal="left"/>
    </xf>
    <xf numFmtId="0" fontId="0" fillId="3" borderId="0" xfId="0" applyFont="1" applyFill="1" applyBorder="1" applyAlignment="1">
      <alignment horizontal="left"/>
    </xf>
    <xf numFmtId="0" fontId="0" fillId="3" borderId="29" xfId="0" applyFill="1" applyBorder="1" applyAlignment="1">
      <alignment horizontal="center"/>
    </xf>
    <xf numFmtId="0" fontId="0" fillId="3" borderId="0" xfId="0" applyFill="1" applyBorder="1" applyAlignment="1">
      <alignment horizontal="center"/>
    </xf>
    <xf numFmtId="0" fontId="0" fillId="0" borderId="16" xfId="0" applyFont="1" applyFill="1" applyBorder="1" applyAlignment="1">
      <alignment horizontal="center" wrapText="1"/>
    </xf>
    <xf numFmtId="0" fontId="0" fillId="0" borderId="22" xfId="0" applyFont="1" applyFill="1" applyBorder="1" applyAlignment="1">
      <alignment horizontal="center"/>
    </xf>
    <xf numFmtId="0" fontId="0" fillId="0" borderId="6" xfId="0" applyFont="1" applyFill="1" applyBorder="1" applyAlignment="1">
      <alignment horizontal="center"/>
    </xf>
    <xf numFmtId="0" fontId="0" fillId="3" borderId="30" xfId="0" applyFont="1" applyFill="1" applyBorder="1" applyAlignment="1">
      <alignment horizontal="left"/>
    </xf>
    <xf numFmtId="0" fontId="0" fillId="3" borderId="23" xfId="0" applyFont="1" applyFill="1" applyBorder="1" applyAlignment="1">
      <alignment horizontal="left"/>
    </xf>
    <xf numFmtId="0" fontId="0" fillId="3" borderId="12" xfId="0" applyFill="1" applyBorder="1" applyAlignment="1">
      <alignment/>
    </xf>
    <xf numFmtId="0" fontId="0" fillId="3" borderId="21" xfId="0" applyFill="1" applyBorder="1" applyAlignment="1">
      <alignment/>
    </xf>
    <xf numFmtId="0" fontId="0" fillId="3" borderId="23" xfId="0" applyFill="1" applyBorder="1" applyAlignment="1">
      <alignment/>
    </xf>
    <xf numFmtId="0" fontId="0" fillId="4" borderId="2" xfId="0" applyFont="1" applyFill="1" applyBorder="1" applyAlignment="1">
      <alignment horizontal="left" vertical="center" wrapText="1"/>
    </xf>
    <xf numFmtId="0" fontId="0" fillId="0" borderId="2" xfId="0"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wrapText="1"/>
    </xf>
    <xf numFmtId="0" fontId="0" fillId="0" borderId="23" xfId="0" applyBorder="1" applyAlignment="1">
      <alignment horizontal="center" wrapText="1"/>
    </xf>
    <xf numFmtId="0" fontId="0" fillId="0" borderId="2" xfId="0" applyBorder="1" applyAlignment="1">
      <alignment horizontal="center" wrapText="1"/>
    </xf>
    <xf numFmtId="49" fontId="0" fillId="0" borderId="0" xfId="0" applyNumberFormat="1" applyAlignment="1">
      <alignment/>
    </xf>
    <xf numFmtId="0" fontId="0" fillId="0" borderId="2" xfId="0" applyFont="1" applyBorder="1" applyAlignment="1">
      <alignment horizontal="center" vertical="center" wrapText="1"/>
    </xf>
    <xf numFmtId="0" fontId="2" fillId="0" borderId="2" xfId="21" applyBorder="1" applyAlignment="1">
      <alignment horizontal="center" vertical="center" wrapText="1"/>
    </xf>
    <xf numFmtId="0" fontId="2" fillId="0" borderId="2" xfId="21" applyFont="1" applyBorder="1" applyAlignment="1">
      <alignment horizontal="center" vertical="center" wrapText="1"/>
    </xf>
    <xf numFmtId="2" fontId="0" fillId="3" borderId="10" xfId="0" applyNumberFormat="1" applyFill="1" applyBorder="1" applyAlignment="1">
      <alignment horizontal="center" vertical="center"/>
    </xf>
    <xf numFmtId="2" fontId="0" fillId="3" borderId="9" xfId="0" applyNumberFormat="1" applyFill="1" applyBorder="1" applyAlignment="1">
      <alignment horizontal="center" vertical="center"/>
    </xf>
    <xf numFmtId="0" fontId="0" fillId="0" borderId="2" xfId="0" applyFont="1" applyBorder="1" applyAlignment="1">
      <alignment horizontal="center" vertical="center" wrapText="1"/>
    </xf>
    <xf numFmtId="0" fontId="6" fillId="3" borderId="10" xfId="0" applyFont="1" applyFill="1" applyBorder="1" applyAlignment="1">
      <alignment horizontal="center" vertical="center"/>
    </xf>
    <xf numFmtId="0" fontId="6" fillId="3" borderId="7" xfId="0" applyFont="1" applyFill="1" applyBorder="1" applyAlignment="1">
      <alignment horizontal="center" vertic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1" fillId="0" borderId="31" xfId="0" applyFont="1" applyBorder="1" applyAlignment="1">
      <alignment horizontal="left" vertical="top" wrapText="1" indent="5"/>
    </xf>
    <xf numFmtId="0" fontId="0" fillId="0" borderId="21" xfId="0" applyBorder="1" applyAlignment="1">
      <alignment horizontal="left" vertical="top" wrapText="1" indent="5"/>
    </xf>
    <xf numFmtId="0" fontId="0" fillId="0" borderId="32" xfId="0" applyBorder="1" applyAlignment="1">
      <alignment horizontal="left" vertical="top" wrapText="1" indent="5"/>
    </xf>
    <xf numFmtId="0" fontId="21" fillId="0" borderId="33" xfId="0" applyFont="1" applyBorder="1" applyAlignment="1">
      <alignment horizontal="left" vertical="top" wrapText="1" indent="5"/>
    </xf>
    <xf numFmtId="0" fontId="0" fillId="0" borderId="34" xfId="0" applyBorder="1" applyAlignment="1">
      <alignment horizontal="left" vertical="top" wrapText="1" indent="5"/>
    </xf>
    <xf numFmtId="0" fontId="0" fillId="0" borderId="35" xfId="0" applyBorder="1" applyAlignment="1">
      <alignment horizontal="left" vertical="top" wrapText="1" indent="5"/>
    </xf>
    <xf numFmtId="0" fontId="18"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21" fillId="0" borderId="39" xfId="0" applyFont="1" applyBorder="1" applyAlignment="1">
      <alignment horizontal="left" vertical="top" wrapText="1" indent="5"/>
    </xf>
    <xf numFmtId="0" fontId="0" fillId="0" borderId="27" xfId="0" applyBorder="1" applyAlignment="1">
      <alignment horizontal="left" vertical="top" wrapText="1" indent="5"/>
    </xf>
    <xf numFmtId="0" fontId="0" fillId="0" borderId="40" xfId="0" applyBorder="1" applyAlignment="1">
      <alignment horizontal="left" vertical="top" wrapText="1" indent="5"/>
    </xf>
    <xf numFmtId="0" fontId="20" fillId="0" borderId="21" xfId="0" applyFont="1" applyBorder="1" applyAlignment="1">
      <alignment horizontal="left" vertical="top" wrapText="1" indent="5"/>
    </xf>
    <xf numFmtId="0" fontId="22" fillId="0" borderId="21" xfId="0" applyFont="1" applyBorder="1" applyAlignment="1">
      <alignment horizontal="left" vertical="top" wrapText="1" indent="5"/>
    </xf>
    <xf numFmtId="0" fontId="22" fillId="0" borderId="32" xfId="0" applyFont="1" applyBorder="1" applyAlignment="1">
      <alignment horizontal="left" vertical="top" wrapText="1" indent="5"/>
    </xf>
    <xf numFmtId="0" fontId="21" fillId="0" borderId="18" xfId="0" applyFont="1" applyBorder="1" applyAlignment="1">
      <alignment horizontal="left" vertical="top" wrapText="1" indent="5"/>
    </xf>
    <xf numFmtId="0" fontId="20" fillId="0" borderId="19" xfId="0" applyFont="1" applyBorder="1" applyAlignment="1">
      <alignment horizontal="left" vertical="top" wrapText="1" indent="5"/>
    </xf>
    <xf numFmtId="0" fontId="22" fillId="0" borderId="19" xfId="0" applyFont="1" applyBorder="1" applyAlignment="1">
      <alignment horizontal="left" vertical="top" wrapText="1" indent="5"/>
    </xf>
    <xf numFmtId="0" fontId="22" fillId="0" borderId="20" xfId="0" applyFont="1" applyBorder="1" applyAlignment="1">
      <alignment horizontal="left" vertical="top" wrapText="1" indent="5"/>
    </xf>
    <xf numFmtId="0" fontId="18" fillId="3" borderId="2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1" fillId="0" borderId="42" xfId="0" applyFont="1" applyBorder="1" applyAlignment="1">
      <alignment horizontal="left" vertical="top" wrapText="1" indent="5"/>
    </xf>
    <xf numFmtId="0" fontId="20" fillId="0" borderId="13" xfId="0" applyFont="1" applyBorder="1" applyAlignment="1">
      <alignment horizontal="left" vertical="top" wrapText="1" indent="5"/>
    </xf>
    <xf numFmtId="0" fontId="22" fillId="0" borderId="13" xfId="0" applyFont="1" applyBorder="1" applyAlignment="1">
      <alignment horizontal="left" vertical="top" wrapText="1" indent="5"/>
    </xf>
    <xf numFmtId="0" fontId="22" fillId="0" borderId="43" xfId="0" applyFont="1" applyBorder="1" applyAlignment="1">
      <alignment horizontal="left" vertical="top" wrapText="1" indent="5"/>
    </xf>
    <xf numFmtId="170" fontId="9" fillId="3" borderId="29" xfId="0" applyNumberFormat="1" applyFont="1" applyFill="1" applyBorder="1" applyAlignment="1">
      <alignment horizontal="center"/>
    </xf>
    <xf numFmtId="170" fontId="9" fillId="3" borderId="0" xfId="0" applyNumberFormat="1" applyFont="1" applyFill="1" applyBorder="1" applyAlignment="1">
      <alignment horizontal="center"/>
    </xf>
    <xf numFmtId="170" fontId="9" fillId="3" borderId="44" xfId="0" applyNumberFormat="1" applyFont="1" applyFill="1" applyBorder="1" applyAlignment="1">
      <alignment horizontal="center"/>
    </xf>
    <xf numFmtId="170" fontId="9" fillId="3" borderId="45" xfId="0" applyNumberFormat="1" applyFont="1" applyFill="1" applyBorder="1" applyAlignment="1">
      <alignment horizontal="center"/>
    </xf>
    <xf numFmtId="170" fontId="9" fillId="3" borderId="46" xfId="0" applyNumberFormat="1" applyFont="1" applyFill="1" applyBorder="1" applyAlignment="1">
      <alignment horizontal="center"/>
    </xf>
    <xf numFmtId="170" fontId="9" fillId="3" borderId="47" xfId="0" applyNumberFormat="1" applyFont="1" applyFill="1" applyBorder="1" applyAlignment="1">
      <alignment horizontal="center"/>
    </xf>
    <xf numFmtId="170" fontId="9" fillId="3" borderId="48" xfId="0" applyNumberFormat="1" applyFont="1" applyFill="1" applyBorder="1" applyAlignment="1">
      <alignment horizontal="center"/>
    </xf>
    <xf numFmtId="170" fontId="9" fillId="3" borderId="49" xfId="0" applyNumberFormat="1" applyFont="1" applyFill="1" applyBorder="1" applyAlignment="1">
      <alignment horizontal="center"/>
    </xf>
    <xf numFmtId="170" fontId="9" fillId="3" borderId="50" xfId="0" applyNumberFormat="1" applyFont="1" applyFill="1" applyBorder="1" applyAlignment="1">
      <alignment horizontal="center"/>
    </xf>
    <xf numFmtId="0" fontId="0" fillId="0" borderId="21" xfId="0" applyBorder="1" applyAlignment="1">
      <alignment horizontal="center" wrapText="1"/>
    </xf>
    <xf numFmtId="0" fontId="0" fillId="2" borderId="2" xfId="0" applyFont="1" applyFill="1" applyBorder="1" applyAlignment="1">
      <alignment horizontal="left" vertical="center"/>
    </xf>
    <xf numFmtId="0" fontId="0" fillId="2" borderId="12" xfId="0" applyFont="1" applyFill="1" applyBorder="1" applyAlignment="1">
      <alignment horizontal="left" vertical="center"/>
    </xf>
  </cellXfs>
  <cellStyles count="11">
    <cellStyle name="Normal" xfId="0"/>
    <cellStyle name="Comma" xfId="15"/>
    <cellStyle name="Comma [0]" xfId="16"/>
    <cellStyle name="Currency" xfId="17"/>
    <cellStyle name="Currency [0]" xfId="18"/>
    <cellStyle name="data validation" xfId="19"/>
    <cellStyle name="Followed Hyperlink" xfId="20"/>
    <cellStyle name="Hyperlink" xfId="21"/>
    <cellStyle name="Normal_CPV Input" xfId="22"/>
    <cellStyle name="Normal_CPV_GSM_V3" xfId="23"/>
    <cellStyle name="Percent" xfId="24"/>
  </cellStyles>
  <dxfs count="3">
    <dxf>
      <fill>
        <patternFill>
          <bgColor rgb="FFFFFF00"/>
        </patternFill>
      </fill>
      <border/>
    </dxf>
    <dxf>
      <font>
        <b/>
        <i val="0"/>
        <color rgb="FFFF0000"/>
      </font>
      <border/>
    </dxf>
    <dxf>
      <font>
        <color rgb="FFC0C0C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ms.movistar.com.ve:8088/mm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interactivo.telcel.net.ve/" TargetMode="External" /><Relationship Id="rId2" Type="http://schemas.openxmlformats.org/officeDocument/2006/relationships/hyperlink" Target="http://mms.movistar.com.ve:8088/mms"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2"/>
  <dimension ref="A1:V68"/>
  <sheetViews>
    <sheetView showGridLines="0" tabSelected="1" zoomScale="70" zoomScaleNormal="70" workbookViewId="0" topLeftCell="A1">
      <pane ySplit="20" topLeftCell="BM21" activePane="bottomLeft" state="frozen"/>
      <selection pane="topLeft" activeCell="A1" sqref="A1"/>
      <selection pane="bottomLeft" activeCell="A1" sqref="A1:N2"/>
    </sheetView>
  </sheetViews>
  <sheetFormatPr defaultColWidth="9.140625" defaultRowHeight="12.75"/>
  <cols>
    <col min="1" max="1" width="10.28125" style="0" customWidth="1"/>
    <col min="2" max="2" width="11.00390625" style="0" customWidth="1"/>
    <col min="4" max="4" width="16.7109375" style="0" customWidth="1"/>
    <col min="8" max="8" width="11.421875" style="0" customWidth="1"/>
    <col min="15" max="15" width="58.57421875" style="0" customWidth="1"/>
    <col min="16" max="16" width="56.421875" style="0" hidden="1" customWidth="1"/>
    <col min="17" max="17" width="9.8515625" style="0" hidden="1" customWidth="1"/>
    <col min="18" max="18" width="11.00390625" style="0" hidden="1" customWidth="1"/>
    <col min="19" max="19" width="9.7109375" style="0" hidden="1" customWidth="1"/>
    <col min="20" max="20" width="0" style="0" hidden="1" customWidth="1"/>
    <col min="21" max="21" width="10.8515625" style="0" hidden="1" customWidth="1"/>
    <col min="22" max="23" width="0" style="0" hidden="1" customWidth="1"/>
  </cols>
  <sheetData>
    <row r="1" spans="1:15" ht="23.25">
      <c r="A1" s="261" t="s">
        <v>455</v>
      </c>
      <c r="B1" s="261"/>
      <c r="C1" s="261"/>
      <c r="D1" s="261"/>
      <c r="E1" s="261"/>
      <c r="F1" s="261"/>
      <c r="G1" s="261"/>
      <c r="H1" s="261"/>
      <c r="I1" s="261"/>
      <c r="J1" s="261"/>
      <c r="K1" s="261"/>
      <c r="L1" s="261"/>
      <c r="M1" s="261"/>
      <c r="N1" s="261"/>
      <c r="O1" s="79"/>
    </row>
    <row r="2" spans="1:15" ht="23.25">
      <c r="A2" s="261"/>
      <c r="B2" s="261"/>
      <c r="C2" s="261"/>
      <c r="D2" s="261"/>
      <c r="E2" s="261"/>
      <c r="F2" s="261"/>
      <c r="G2" s="261"/>
      <c r="H2" s="261"/>
      <c r="I2" s="261"/>
      <c r="J2" s="261"/>
      <c r="K2" s="261"/>
      <c r="L2" s="261"/>
      <c r="M2" s="261"/>
      <c r="N2" s="261"/>
      <c r="O2" s="79"/>
    </row>
    <row r="3" spans="1:15" s="43" customFormat="1" ht="23.25">
      <c r="A3" s="79"/>
      <c r="B3" s="79"/>
      <c r="C3" s="79"/>
      <c r="D3" s="79"/>
      <c r="E3" s="79"/>
      <c r="F3" s="79"/>
      <c r="G3" s="79"/>
      <c r="H3" s="79"/>
      <c r="I3" s="79"/>
      <c r="J3" s="79"/>
      <c r="K3" s="79"/>
      <c r="L3" s="79"/>
      <c r="M3" s="79"/>
      <c r="N3" s="79"/>
      <c r="O3" s="79"/>
    </row>
    <row r="4" spans="1:15" ht="23.25">
      <c r="A4" s="79"/>
      <c r="B4" s="79"/>
      <c r="C4" s="79"/>
      <c r="D4" s="79"/>
      <c r="E4" s="79"/>
      <c r="F4" s="79"/>
      <c r="G4" s="79"/>
      <c r="H4" s="79"/>
      <c r="I4" s="79"/>
      <c r="J4" s="79"/>
      <c r="K4" s="79"/>
      <c r="L4" s="79"/>
      <c r="M4" s="79"/>
      <c r="N4" s="79"/>
      <c r="O4" s="79"/>
    </row>
    <row r="5" spans="1:15" ht="12.75">
      <c r="A5" s="247" t="s">
        <v>310</v>
      </c>
      <c r="B5" s="247"/>
      <c r="C5" s="250" t="s">
        <v>457</v>
      </c>
      <c r="D5" s="251"/>
      <c r="E5" s="251"/>
      <c r="F5" s="252"/>
      <c r="G5" s="262"/>
      <c r="H5" s="262"/>
      <c r="I5" s="262"/>
      <c r="J5" s="262"/>
      <c r="K5" s="262"/>
      <c r="L5" s="262"/>
      <c r="M5" s="262"/>
      <c r="N5" s="263"/>
      <c r="O5" s="81"/>
    </row>
    <row r="6" spans="1:15" ht="12.75">
      <c r="A6" s="247" t="s">
        <v>311</v>
      </c>
      <c r="B6" s="247"/>
      <c r="C6" s="250" t="s">
        <v>456</v>
      </c>
      <c r="D6" s="251"/>
      <c r="E6" s="251"/>
      <c r="F6" s="252"/>
      <c r="G6" s="262"/>
      <c r="H6" s="262"/>
      <c r="I6" s="262"/>
      <c r="J6" s="262"/>
      <c r="K6" s="262"/>
      <c r="L6" s="262"/>
      <c r="M6" s="262"/>
      <c r="N6" s="263"/>
      <c r="O6" s="81"/>
    </row>
    <row r="7" spans="7:15" ht="12.75">
      <c r="G7" s="240"/>
      <c r="H7" s="240"/>
      <c r="I7" s="240"/>
      <c r="J7" s="240"/>
      <c r="K7" s="240"/>
      <c r="L7" s="240"/>
      <c r="M7" s="240"/>
      <c r="N7" s="240"/>
      <c r="O7" s="81"/>
    </row>
    <row r="8" spans="1:15" ht="12.75">
      <c r="A8" s="247" t="s">
        <v>307</v>
      </c>
      <c r="B8" s="247"/>
      <c r="C8" s="250" t="s">
        <v>1241</v>
      </c>
      <c r="D8" s="251"/>
      <c r="E8" s="251"/>
      <c r="F8" s="252"/>
      <c r="G8" s="253" t="s">
        <v>617</v>
      </c>
      <c r="H8" s="254"/>
      <c r="I8" s="254"/>
      <c r="J8" s="254"/>
      <c r="K8" s="254"/>
      <c r="L8" s="254"/>
      <c r="M8" s="254"/>
      <c r="N8" s="255"/>
      <c r="O8" s="81"/>
    </row>
    <row r="9" spans="1:18" ht="12.75" customHeight="1">
      <c r="A9" s="247" t="s">
        <v>308</v>
      </c>
      <c r="B9" s="247"/>
      <c r="C9" s="250" t="s">
        <v>1080</v>
      </c>
      <c r="D9" s="251"/>
      <c r="E9" s="251"/>
      <c r="F9" s="252"/>
      <c r="G9" s="253" t="s">
        <v>618</v>
      </c>
      <c r="H9" s="254"/>
      <c r="I9" s="254"/>
      <c r="J9" s="254"/>
      <c r="K9" s="254"/>
      <c r="L9" s="254"/>
      <c r="M9" s="254"/>
      <c r="N9" s="255"/>
      <c r="O9" s="81"/>
      <c r="Q9" s="31" t="s">
        <v>1080</v>
      </c>
      <c r="R9" s="31" t="s">
        <v>1081</v>
      </c>
    </row>
    <row r="10" spans="1:14" ht="12.75">
      <c r="A10" s="256" t="s">
        <v>309</v>
      </c>
      <c r="B10" s="257"/>
      <c r="C10" s="250" t="s">
        <v>1242</v>
      </c>
      <c r="D10" s="251"/>
      <c r="E10" s="251"/>
      <c r="F10" s="252"/>
      <c r="G10" s="253" t="s">
        <v>619</v>
      </c>
      <c r="H10" s="245"/>
      <c r="I10" s="245"/>
      <c r="J10" s="245"/>
      <c r="K10" s="245"/>
      <c r="L10" s="245"/>
      <c r="M10" s="245"/>
      <c r="N10" s="239"/>
    </row>
    <row r="11" spans="1:14" ht="12.75">
      <c r="A11" s="256" t="s">
        <v>537</v>
      </c>
      <c r="B11" s="257"/>
      <c r="C11" s="250" t="s">
        <v>1243</v>
      </c>
      <c r="D11" s="251"/>
      <c r="E11" s="251"/>
      <c r="F11" s="252"/>
      <c r="G11" s="253" t="s">
        <v>625</v>
      </c>
      <c r="H11" s="254"/>
      <c r="I11" s="254"/>
      <c r="J11" s="254"/>
      <c r="K11" s="254"/>
      <c r="L11" s="254"/>
      <c r="M11" s="254"/>
      <c r="N11" s="255"/>
    </row>
    <row r="12" spans="1:22" ht="12.75">
      <c r="A12" s="246" t="s">
        <v>1494</v>
      </c>
      <c r="B12" s="244"/>
      <c r="C12" s="250" t="s">
        <v>1463</v>
      </c>
      <c r="D12" s="251"/>
      <c r="E12" s="251"/>
      <c r="F12" s="252"/>
      <c r="G12" s="248" t="s">
        <v>627</v>
      </c>
      <c r="H12" s="248"/>
      <c r="I12" s="248"/>
      <c r="J12" s="248"/>
      <c r="K12" s="248"/>
      <c r="L12" s="248"/>
      <c r="M12" s="248"/>
      <c r="N12" s="248"/>
      <c r="Q12" t="s">
        <v>1462</v>
      </c>
      <c r="R12" t="s">
        <v>755</v>
      </c>
      <c r="S12" t="s">
        <v>1463</v>
      </c>
      <c r="T12" t="s">
        <v>1464</v>
      </c>
      <c r="U12" t="s">
        <v>1465</v>
      </c>
      <c r="V12" t="s">
        <v>754</v>
      </c>
    </row>
    <row r="13" spans="1:14" ht="12.75">
      <c r="A13" s="247" t="s">
        <v>1492</v>
      </c>
      <c r="B13" s="247"/>
      <c r="C13" s="250" t="s">
        <v>1244</v>
      </c>
      <c r="D13" s="251"/>
      <c r="E13" s="251"/>
      <c r="F13" s="252"/>
      <c r="G13" s="253" t="s">
        <v>619</v>
      </c>
      <c r="H13" s="254"/>
      <c r="I13" s="254"/>
      <c r="J13" s="254"/>
      <c r="K13" s="254"/>
      <c r="L13" s="254"/>
      <c r="M13" s="254"/>
      <c r="N13" s="255"/>
    </row>
    <row r="14" spans="1:14" ht="12.75">
      <c r="A14" s="247" t="s">
        <v>1493</v>
      </c>
      <c r="B14" s="247"/>
      <c r="C14" s="250" t="s">
        <v>1245</v>
      </c>
      <c r="D14" s="251"/>
      <c r="E14" s="251"/>
      <c r="F14" s="252"/>
      <c r="G14" s="253" t="s">
        <v>619</v>
      </c>
      <c r="H14" s="254"/>
      <c r="I14" s="254"/>
      <c r="J14" s="254"/>
      <c r="K14" s="254"/>
      <c r="L14" s="254"/>
      <c r="M14" s="254"/>
      <c r="N14" s="255"/>
    </row>
    <row r="15" spans="1:14" ht="12.75">
      <c r="A15" s="247" t="s">
        <v>1495</v>
      </c>
      <c r="B15" s="247"/>
      <c r="C15" s="250" t="s">
        <v>1246</v>
      </c>
      <c r="D15" s="251"/>
      <c r="E15" s="251"/>
      <c r="F15" s="252"/>
      <c r="G15" s="248" t="s">
        <v>628</v>
      </c>
      <c r="H15" s="248"/>
      <c r="I15" s="248"/>
      <c r="J15" s="248"/>
      <c r="K15" s="248"/>
      <c r="L15" s="248"/>
      <c r="M15" s="248"/>
      <c r="N15" s="248"/>
    </row>
    <row r="16" spans="1:18" ht="12.75">
      <c r="A16" s="247" t="s">
        <v>1577</v>
      </c>
      <c r="B16" s="247"/>
      <c r="C16" s="250" t="s">
        <v>817</v>
      </c>
      <c r="D16" s="251"/>
      <c r="E16" s="251"/>
      <c r="F16" s="252"/>
      <c r="G16" s="249" t="s">
        <v>752</v>
      </c>
      <c r="H16" s="249"/>
      <c r="I16" s="249"/>
      <c r="J16" s="249"/>
      <c r="K16" s="249"/>
      <c r="L16" s="249"/>
      <c r="M16" s="249"/>
      <c r="N16" s="249"/>
      <c r="Q16" t="s">
        <v>817</v>
      </c>
      <c r="R16" t="s">
        <v>818</v>
      </c>
    </row>
    <row r="17" ht="12.75">
      <c r="O17" s="80"/>
    </row>
    <row r="18" spans="1:6" ht="12.75">
      <c r="A18" s="29"/>
      <c r="B18" s="21"/>
      <c r="C18" s="21"/>
      <c r="D18" s="21"/>
      <c r="E18" s="21"/>
      <c r="F18" s="21"/>
    </row>
    <row r="19" spans="1:16" ht="18">
      <c r="A19" s="236" t="s">
        <v>312</v>
      </c>
      <c r="B19" s="271" t="s">
        <v>313</v>
      </c>
      <c r="C19" s="272"/>
      <c r="D19" s="272"/>
      <c r="E19" s="272"/>
      <c r="F19" s="272"/>
      <c r="G19" s="272"/>
      <c r="H19" s="272"/>
      <c r="I19" s="272"/>
      <c r="J19" s="272"/>
      <c r="K19" s="272"/>
      <c r="L19" s="272"/>
      <c r="M19" s="272"/>
      <c r="N19" s="272"/>
      <c r="O19" s="273"/>
      <c r="P19" s="274"/>
    </row>
    <row r="20" spans="1:16" ht="12.75">
      <c r="A20" s="236"/>
      <c r="B20" s="237" t="s">
        <v>314</v>
      </c>
      <c r="C20" s="237"/>
      <c r="D20" s="237"/>
      <c r="E20" s="237" t="s">
        <v>315</v>
      </c>
      <c r="F20" s="237"/>
      <c r="G20" s="237" t="s">
        <v>316</v>
      </c>
      <c r="H20" s="237"/>
      <c r="I20" s="237" t="s">
        <v>317</v>
      </c>
      <c r="J20" s="237"/>
      <c r="K20" s="237"/>
      <c r="L20" s="237"/>
      <c r="M20" s="237"/>
      <c r="N20" s="237"/>
      <c r="O20" s="63" t="s">
        <v>1333</v>
      </c>
      <c r="P20" s="63" t="s">
        <v>673</v>
      </c>
    </row>
    <row r="21" spans="1:22" ht="50.25" customHeight="1">
      <c r="A21" s="1">
        <v>1</v>
      </c>
      <c r="B21" s="187" t="s">
        <v>318</v>
      </c>
      <c r="C21" s="188"/>
      <c r="D21" s="189"/>
      <c r="E21" s="265" t="s">
        <v>935</v>
      </c>
      <c r="F21" s="266"/>
      <c r="G21" s="241" t="s">
        <v>935</v>
      </c>
      <c r="H21" s="242"/>
      <c r="I21" s="264" t="s">
        <v>1198</v>
      </c>
      <c r="J21" s="264"/>
      <c r="K21" s="264"/>
      <c r="L21" s="264"/>
      <c r="M21" s="264"/>
      <c r="N21" s="264"/>
      <c r="O21" s="85" t="s">
        <v>812</v>
      </c>
      <c r="P21" s="90" t="s">
        <v>674</v>
      </c>
      <c r="Q21" t="s">
        <v>935</v>
      </c>
      <c r="R21" t="s">
        <v>629</v>
      </c>
      <c r="S21" t="s">
        <v>630</v>
      </c>
      <c r="T21" t="s">
        <v>1197</v>
      </c>
      <c r="V21">
        <f aca="true" t="shared" si="0" ref="V21:V28">IF(G21="","",IF(ISERROR(SEARCH(E21,G21)),CONCATENATE(P21," - ",G21),""))</f>
      </c>
    </row>
    <row r="22" spans="1:22" ht="50.25" customHeight="1">
      <c r="A22" s="1">
        <f>A21+0.01</f>
        <v>1.01</v>
      </c>
      <c r="B22" s="187" t="s">
        <v>324</v>
      </c>
      <c r="C22" s="188"/>
      <c r="D22" s="189"/>
      <c r="E22" s="267" t="s">
        <v>834</v>
      </c>
      <c r="F22" s="268"/>
      <c r="G22" s="241" t="s">
        <v>834</v>
      </c>
      <c r="H22" s="242"/>
      <c r="I22" s="269" t="s">
        <v>701</v>
      </c>
      <c r="J22" s="269"/>
      <c r="K22" s="269"/>
      <c r="L22" s="269"/>
      <c r="M22" s="269"/>
      <c r="N22" s="269"/>
      <c r="O22" s="70" t="s">
        <v>1334</v>
      </c>
      <c r="P22" s="90" t="s">
        <v>675</v>
      </c>
      <c r="Q22" t="s">
        <v>834</v>
      </c>
      <c r="R22" t="s">
        <v>565</v>
      </c>
      <c r="T22" t="s">
        <v>1035</v>
      </c>
      <c r="V22">
        <f t="shared" si="0"/>
      </c>
    </row>
    <row r="23" spans="1:22" ht="50.25" customHeight="1">
      <c r="A23" s="1">
        <f aca="true" t="shared" si="1" ref="A23:A30">A22+0.01</f>
        <v>1.02</v>
      </c>
      <c r="B23" s="187" t="s">
        <v>325</v>
      </c>
      <c r="C23" s="188"/>
      <c r="D23" s="189"/>
      <c r="E23" s="267" t="s">
        <v>835</v>
      </c>
      <c r="F23" s="268"/>
      <c r="G23" s="241" t="s">
        <v>835</v>
      </c>
      <c r="H23" s="242"/>
      <c r="I23" s="264" t="s">
        <v>702</v>
      </c>
      <c r="J23" s="264"/>
      <c r="K23" s="264"/>
      <c r="L23" s="264"/>
      <c r="M23" s="264"/>
      <c r="N23" s="264"/>
      <c r="O23" s="85" t="s">
        <v>1358</v>
      </c>
      <c r="P23" s="90" t="s">
        <v>676</v>
      </c>
      <c r="Q23" t="s">
        <v>835</v>
      </c>
      <c r="R23" t="s">
        <v>566</v>
      </c>
      <c r="S23" t="s">
        <v>837</v>
      </c>
      <c r="T23" t="s">
        <v>1035</v>
      </c>
      <c r="V23">
        <f t="shared" si="0"/>
      </c>
    </row>
    <row r="24" spans="1:22" ht="50.25" customHeight="1">
      <c r="A24" s="1">
        <f t="shared" si="1"/>
        <v>1.03</v>
      </c>
      <c r="B24" s="187" t="s">
        <v>326</v>
      </c>
      <c r="C24" s="188"/>
      <c r="D24" s="189"/>
      <c r="E24" s="241" t="s">
        <v>936</v>
      </c>
      <c r="F24" s="242"/>
      <c r="G24" s="241" t="s">
        <v>936</v>
      </c>
      <c r="H24" s="242"/>
      <c r="I24" s="264" t="s">
        <v>932</v>
      </c>
      <c r="J24" s="264"/>
      <c r="K24" s="264"/>
      <c r="L24" s="264"/>
      <c r="M24" s="264"/>
      <c r="N24" s="264"/>
      <c r="O24" s="70" t="s">
        <v>1323</v>
      </c>
      <c r="P24" s="90" t="s">
        <v>677</v>
      </c>
      <c r="Q24" t="s">
        <v>689</v>
      </c>
      <c r="R24" t="s">
        <v>936</v>
      </c>
      <c r="S24" t="s">
        <v>836</v>
      </c>
      <c r="T24" t="s">
        <v>1035</v>
      </c>
      <c r="V24">
        <f t="shared" si="0"/>
      </c>
    </row>
    <row r="25" spans="1:22" ht="50.25" customHeight="1">
      <c r="A25" s="1">
        <f t="shared" si="1"/>
        <v>1.04</v>
      </c>
      <c r="B25" s="187" t="s">
        <v>330</v>
      </c>
      <c r="C25" s="188"/>
      <c r="D25" s="189"/>
      <c r="E25" s="241" t="s">
        <v>322</v>
      </c>
      <c r="F25" s="242"/>
      <c r="G25" s="241" t="s">
        <v>689</v>
      </c>
      <c r="H25" s="242"/>
      <c r="I25" s="264" t="s">
        <v>933</v>
      </c>
      <c r="J25" s="264"/>
      <c r="K25" s="264"/>
      <c r="L25" s="264"/>
      <c r="M25" s="264"/>
      <c r="N25" s="264"/>
      <c r="O25" s="70" t="s">
        <v>1337</v>
      </c>
      <c r="P25" s="90" t="s">
        <v>678</v>
      </c>
      <c r="Q25" t="s">
        <v>322</v>
      </c>
      <c r="R25" t="s">
        <v>689</v>
      </c>
      <c r="T25" t="s">
        <v>1035</v>
      </c>
      <c r="V25" t="str">
        <f t="shared" si="0"/>
        <v>DL_DB_FEATURE_ID_MULTI_KEY_ANSWER - Off</v>
      </c>
    </row>
    <row r="26" spans="1:22" ht="50.25" customHeight="1">
      <c r="A26" s="1">
        <f t="shared" si="1"/>
        <v>1.05</v>
      </c>
      <c r="B26" s="187" t="s">
        <v>331</v>
      </c>
      <c r="C26" s="190"/>
      <c r="D26" s="191"/>
      <c r="E26" s="241" t="s">
        <v>689</v>
      </c>
      <c r="F26" s="242"/>
      <c r="G26" s="241" t="s">
        <v>322</v>
      </c>
      <c r="H26" s="242"/>
      <c r="I26" s="270" t="s">
        <v>934</v>
      </c>
      <c r="J26" s="270"/>
      <c r="K26" s="270"/>
      <c r="L26" s="270"/>
      <c r="M26" s="270"/>
      <c r="N26" s="270"/>
      <c r="O26" s="71" t="s">
        <v>807</v>
      </c>
      <c r="P26" s="90" t="s">
        <v>679</v>
      </c>
      <c r="Q26" t="s">
        <v>322</v>
      </c>
      <c r="R26" t="s">
        <v>689</v>
      </c>
      <c r="T26" t="s">
        <v>1035</v>
      </c>
      <c r="V26" t="str">
        <f t="shared" si="0"/>
        <v>DL_DB_FEATURE_ID_VOICEMAIL_KEY_AVAILABLE - On</v>
      </c>
    </row>
    <row r="27" spans="1:22" ht="50.25" customHeight="1">
      <c r="A27" s="1">
        <f t="shared" si="1"/>
        <v>1.06</v>
      </c>
      <c r="B27" s="187" t="s">
        <v>332</v>
      </c>
      <c r="C27" s="190"/>
      <c r="D27" s="191"/>
      <c r="E27" s="241" t="s">
        <v>322</v>
      </c>
      <c r="F27" s="242"/>
      <c r="G27" s="241" t="s">
        <v>322</v>
      </c>
      <c r="H27" s="242"/>
      <c r="I27" s="275" t="s">
        <v>694</v>
      </c>
      <c r="J27" s="276"/>
      <c r="K27" s="276"/>
      <c r="L27" s="276"/>
      <c r="M27" s="276"/>
      <c r="N27" s="277"/>
      <c r="O27" s="70" t="s">
        <v>809</v>
      </c>
      <c r="P27" s="90" t="s">
        <v>680</v>
      </c>
      <c r="Q27" t="s">
        <v>689</v>
      </c>
      <c r="R27" t="s">
        <v>322</v>
      </c>
      <c r="T27" t="s">
        <v>1035</v>
      </c>
      <c r="V27">
        <f t="shared" si="0"/>
      </c>
    </row>
    <row r="28" spans="1:22" ht="50.25" customHeight="1">
      <c r="A28" s="1">
        <f t="shared" si="1"/>
        <v>1.07</v>
      </c>
      <c r="B28" s="187" t="s">
        <v>333</v>
      </c>
      <c r="C28" s="192"/>
      <c r="D28" s="193"/>
      <c r="E28" s="241" t="s">
        <v>689</v>
      </c>
      <c r="F28" s="242"/>
      <c r="G28" s="241" t="s">
        <v>689</v>
      </c>
      <c r="H28" s="242"/>
      <c r="I28" s="243" t="s">
        <v>695</v>
      </c>
      <c r="J28" s="234"/>
      <c r="K28" s="234"/>
      <c r="L28" s="234"/>
      <c r="M28" s="234"/>
      <c r="N28" s="235"/>
      <c r="O28" s="85" t="s">
        <v>491</v>
      </c>
      <c r="P28" s="90" t="s">
        <v>681</v>
      </c>
      <c r="Q28" t="s">
        <v>322</v>
      </c>
      <c r="R28" t="s">
        <v>689</v>
      </c>
      <c r="T28" t="s">
        <v>1035</v>
      </c>
      <c r="V28">
        <f t="shared" si="0"/>
      </c>
    </row>
    <row r="29" spans="1:22" ht="50.25" customHeight="1">
      <c r="A29" s="1">
        <f t="shared" si="1"/>
        <v>1.08</v>
      </c>
      <c r="B29" s="187" t="s">
        <v>334</v>
      </c>
      <c r="C29" s="190"/>
      <c r="D29" s="191"/>
      <c r="E29" s="241" t="s">
        <v>288</v>
      </c>
      <c r="F29" s="242"/>
      <c r="G29" s="241">
        <v>911</v>
      </c>
      <c r="H29" s="242"/>
      <c r="I29" s="243" t="s">
        <v>705</v>
      </c>
      <c r="J29" s="234"/>
      <c r="K29" s="234"/>
      <c r="L29" s="234"/>
      <c r="M29" s="234"/>
      <c r="N29" s="235"/>
      <c r="O29" s="71" t="s">
        <v>492</v>
      </c>
      <c r="P29" s="90" t="s">
        <v>626</v>
      </c>
      <c r="T29" t="s">
        <v>1035</v>
      </c>
      <c r="V29" t="str">
        <f>IF(G29=E29,"",IF(G29="","",CONCATENATE(P29," - ",G29)))</f>
        <v>SEEM_EMERGENCY_NUMBERS - 911</v>
      </c>
    </row>
    <row r="30" spans="1:22" ht="50.25" customHeight="1">
      <c r="A30" s="1">
        <f t="shared" si="1"/>
        <v>1.09</v>
      </c>
      <c r="B30" s="187" t="s">
        <v>696</v>
      </c>
      <c r="C30" s="192"/>
      <c r="D30" s="193"/>
      <c r="E30" s="241" t="s">
        <v>288</v>
      </c>
      <c r="F30" s="242"/>
      <c r="G30" s="241" t="s">
        <v>424</v>
      </c>
      <c r="H30" s="242"/>
      <c r="I30" s="243" t="s">
        <v>719</v>
      </c>
      <c r="J30" s="234"/>
      <c r="K30" s="234"/>
      <c r="L30" s="234"/>
      <c r="M30" s="234"/>
      <c r="N30" s="235"/>
      <c r="O30" s="71" t="s">
        <v>494</v>
      </c>
      <c r="P30" s="90" t="s">
        <v>682</v>
      </c>
      <c r="T30" t="s">
        <v>1035</v>
      </c>
      <c r="V30" t="str">
        <f>IF(G30=E30,"",IF(G30="","",CONCATENATE(P30," - ",G30)))</f>
        <v>SEEM_VOICE_MAIL_NUMBER - *2</v>
      </c>
    </row>
    <row r="31" spans="1:15" s="19" customFormat="1" ht="39" customHeight="1">
      <c r="A31" s="72"/>
      <c r="B31" s="73"/>
      <c r="C31" s="73"/>
      <c r="D31" s="73"/>
      <c r="E31" s="74"/>
      <c r="F31" s="74"/>
      <c r="G31" s="74"/>
      <c r="H31" s="74"/>
      <c r="I31" s="75"/>
      <c r="J31" s="75"/>
      <c r="K31" s="75"/>
      <c r="L31" s="75"/>
      <c r="M31" s="75"/>
      <c r="N31" s="76"/>
      <c r="O31" s="78"/>
    </row>
    <row r="32" spans="1:15" ht="14.25" customHeight="1">
      <c r="A32" s="238" t="s">
        <v>342</v>
      </c>
      <c r="B32" s="231"/>
      <c r="C32" s="231"/>
      <c r="D32" s="231"/>
      <c r="E32" s="231"/>
      <c r="F32" s="231"/>
      <c r="G32" s="231"/>
      <c r="H32" s="231"/>
      <c r="I32" s="231"/>
      <c r="J32" s="231"/>
      <c r="K32" s="231"/>
      <c r="L32" s="231"/>
      <c r="M32" s="231"/>
      <c r="N32" s="232"/>
      <c r="O32" s="79"/>
    </row>
    <row r="33" spans="1:15" ht="14.25" customHeight="1">
      <c r="A33" s="233"/>
      <c r="B33" s="258"/>
      <c r="C33" s="258"/>
      <c r="D33" s="258"/>
      <c r="E33" s="258"/>
      <c r="F33" s="258"/>
      <c r="G33" s="258"/>
      <c r="H33" s="258"/>
      <c r="I33" s="258"/>
      <c r="J33" s="258"/>
      <c r="K33" s="258"/>
      <c r="L33" s="258"/>
      <c r="M33" s="258"/>
      <c r="N33" s="259"/>
      <c r="O33" s="79"/>
    </row>
    <row r="34" spans="1:15" ht="14.25" customHeight="1">
      <c r="A34" s="13"/>
      <c r="B34" s="10"/>
      <c r="C34" s="10"/>
      <c r="D34" s="10"/>
      <c r="E34" s="10"/>
      <c r="F34" s="10"/>
      <c r="G34" s="10"/>
      <c r="H34" s="10"/>
      <c r="I34" s="10"/>
      <c r="J34" s="10"/>
      <c r="K34" s="10"/>
      <c r="L34" s="10"/>
      <c r="M34" s="10"/>
      <c r="N34" s="14"/>
      <c r="O34" s="11"/>
    </row>
    <row r="35" spans="1:15" ht="14.25" customHeight="1">
      <c r="A35" s="16"/>
      <c r="B35" s="11"/>
      <c r="C35" s="11"/>
      <c r="D35" s="11"/>
      <c r="E35" s="11"/>
      <c r="F35" s="11"/>
      <c r="G35" s="11"/>
      <c r="H35" s="11"/>
      <c r="I35" s="11"/>
      <c r="J35" s="11"/>
      <c r="K35" s="11"/>
      <c r="L35" s="11"/>
      <c r="M35" s="11"/>
      <c r="N35" s="12"/>
      <c r="O35" s="11"/>
    </row>
    <row r="36" spans="1:15" ht="14.25" customHeight="1">
      <c r="A36" s="17"/>
      <c r="B36" s="11"/>
      <c r="C36" s="11"/>
      <c r="D36" s="11"/>
      <c r="E36" s="11"/>
      <c r="F36" s="11"/>
      <c r="G36" s="11"/>
      <c r="H36" s="11"/>
      <c r="I36" s="11"/>
      <c r="J36" s="11"/>
      <c r="K36" s="11"/>
      <c r="L36" s="11"/>
      <c r="M36" s="11"/>
      <c r="N36" s="12"/>
      <c r="O36" s="11"/>
    </row>
    <row r="37" spans="1:15" ht="14.25" customHeight="1">
      <c r="A37" s="18"/>
      <c r="B37" s="11"/>
      <c r="C37" s="11"/>
      <c r="D37" s="11"/>
      <c r="E37" s="11"/>
      <c r="F37" s="11"/>
      <c r="G37" s="11"/>
      <c r="H37" s="11"/>
      <c r="I37" s="11"/>
      <c r="J37" s="11"/>
      <c r="K37" s="11"/>
      <c r="L37" s="11"/>
      <c r="M37" s="11"/>
      <c r="N37" s="12"/>
      <c r="O37" s="11"/>
    </row>
    <row r="38" spans="1:15" ht="14.25" customHeight="1">
      <c r="A38" s="20"/>
      <c r="B38" s="11"/>
      <c r="C38" s="11"/>
      <c r="D38" s="11"/>
      <c r="E38" s="11"/>
      <c r="F38" s="11"/>
      <c r="G38" s="11"/>
      <c r="H38" s="11"/>
      <c r="I38" s="11"/>
      <c r="J38" s="11"/>
      <c r="K38" s="11"/>
      <c r="L38" s="11"/>
      <c r="M38" s="11"/>
      <c r="N38" s="12"/>
      <c r="O38" s="11"/>
    </row>
    <row r="39" spans="1:15" ht="14.25" customHeight="1">
      <c r="A39" s="27"/>
      <c r="B39" s="11"/>
      <c r="C39" s="11"/>
      <c r="D39" s="11"/>
      <c r="E39" s="11"/>
      <c r="F39" s="11"/>
      <c r="G39" s="11"/>
      <c r="H39" s="11"/>
      <c r="I39" s="11"/>
      <c r="J39" s="11"/>
      <c r="K39" s="11"/>
      <c r="L39" s="11"/>
      <c r="M39" s="11"/>
      <c r="N39" s="12"/>
      <c r="O39" s="11"/>
    </row>
    <row r="40" spans="1:16" ht="12.75">
      <c r="A40" s="28"/>
      <c r="B40" s="26"/>
      <c r="C40" s="26"/>
      <c r="D40" s="26"/>
      <c r="E40" s="26"/>
      <c r="F40" s="26"/>
      <c r="G40" s="26"/>
      <c r="H40" s="26"/>
      <c r="I40" s="26"/>
      <c r="J40" s="26"/>
      <c r="K40" s="26"/>
      <c r="L40" s="26"/>
      <c r="M40" s="26"/>
      <c r="N40" s="9"/>
      <c r="O40" s="15"/>
      <c r="P40" s="15"/>
    </row>
    <row r="46" spans="2:12" ht="12.75">
      <c r="B46" s="240"/>
      <c r="C46" s="240"/>
      <c r="D46" s="240"/>
      <c r="E46" s="240"/>
      <c r="I46" s="240"/>
      <c r="J46" s="240"/>
      <c r="K46" s="240"/>
      <c r="L46" s="240"/>
    </row>
    <row r="47" spans="2:12" ht="12.75">
      <c r="B47" s="260" t="s">
        <v>343</v>
      </c>
      <c r="C47" s="260"/>
      <c r="D47" s="260"/>
      <c r="E47" s="260"/>
      <c r="I47" s="260" t="s">
        <v>688</v>
      </c>
      <c r="J47" s="260"/>
      <c r="K47" s="260"/>
      <c r="L47" s="260"/>
    </row>
    <row r="60" spans="1:2" ht="15.75" hidden="1">
      <c r="A60" s="107" t="s">
        <v>629</v>
      </c>
      <c r="B60" s="107" t="s">
        <v>119</v>
      </c>
    </row>
    <row r="61" spans="1:2" ht="12.75" hidden="1">
      <c r="A61" t="s">
        <v>935</v>
      </c>
      <c r="B61" t="s">
        <v>1197</v>
      </c>
    </row>
    <row r="62" spans="1:2" ht="12.75" hidden="1">
      <c r="A62" t="s">
        <v>630</v>
      </c>
      <c r="B62" t="s">
        <v>120</v>
      </c>
    </row>
    <row r="63" ht="12.75" hidden="1">
      <c r="B63" t="s">
        <v>121</v>
      </c>
    </row>
    <row r="64" ht="12.75" hidden="1">
      <c r="B64" t="s">
        <v>935</v>
      </c>
    </row>
    <row r="65" ht="12.75" hidden="1">
      <c r="B65" t="s">
        <v>122</v>
      </c>
    </row>
    <row r="66" ht="12.75" hidden="1">
      <c r="B66" t="s">
        <v>1197</v>
      </c>
    </row>
    <row r="67" ht="12.75" hidden="1">
      <c r="B67" t="s">
        <v>123</v>
      </c>
    </row>
    <row r="68" ht="12.75" hidden="1">
      <c r="B68" t="s">
        <v>629</v>
      </c>
    </row>
  </sheetData>
  <mergeCells count="75">
    <mergeCell ref="C8:F8"/>
    <mergeCell ref="C9:F9"/>
    <mergeCell ref="C10:F10"/>
    <mergeCell ref="C11:F11"/>
    <mergeCell ref="E29:F29"/>
    <mergeCell ref="G29:H29"/>
    <mergeCell ref="I29:N29"/>
    <mergeCell ref="B19:P19"/>
    <mergeCell ref="E28:F28"/>
    <mergeCell ref="G28:H28"/>
    <mergeCell ref="I28:N28"/>
    <mergeCell ref="E27:F27"/>
    <mergeCell ref="G27:H27"/>
    <mergeCell ref="I27:N27"/>
    <mergeCell ref="E26:F26"/>
    <mergeCell ref="G26:H26"/>
    <mergeCell ref="I26:N26"/>
    <mergeCell ref="E25:F25"/>
    <mergeCell ref="G25:H25"/>
    <mergeCell ref="I25:N25"/>
    <mergeCell ref="E24:F24"/>
    <mergeCell ref="G24:H24"/>
    <mergeCell ref="I24:N24"/>
    <mergeCell ref="E22:F22"/>
    <mergeCell ref="G22:H22"/>
    <mergeCell ref="I22:N22"/>
    <mergeCell ref="E23:F23"/>
    <mergeCell ref="G23:H23"/>
    <mergeCell ref="I23:N23"/>
    <mergeCell ref="I20:N20"/>
    <mergeCell ref="G21:H21"/>
    <mergeCell ref="I21:N21"/>
    <mergeCell ref="E21:F21"/>
    <mergeCell ref="A1:N2"/>
    <mergeCell ref="A5:B5"/>
    <mergeCell ref="C5:F5"/>
    <mergeCell ref="G5:N6"/>
    <mergeCell ref="A6:B6"/>
    <mergeCell ref="C6:F6"/>
    <mergeCell ref="A32:N33"/>
    <mergeCell ref="B46:E46"/>
    <mergeCell ref="I46:L46"/>
    <mergeCell ref="B47:E47"/>
    <mergeCell ref="I47:L47"/>
    <mergeCell ref="G7:N7"/>
    <mergeCell ref="A8:B8"/>
    <mergeCell ref="G8:N8"/>
    <mergeCell ref="E30:F30"/>
    <mergeCell ref="G30:H30"/>
    <mergeCell ref="I30:N30"/>
    <mergeCell ref="A19:A20"/>
    <mergeCell ref="B20:D20"/>
    <mergeCell ref="E20:F20"/>
    <mergeCell ref="G20:H20"/>
    <mergeCell ref="A9:B9"/>
    <mergeCell ref="G9:N9"/>
    <mergeCell ref="A10:B10"/>
    <mergeCell ref="G10:N10"/>
    <mergeCell ref="A11:B11"/>
    <mergeCell ref="G11:N11"/>
    <mergeCell ref="A12:B12"/>
    <mergeCell ref="G12:N12"/>
    <mergeCell ref="C12:F12"/>
    <mergeCell ref="A13:B13"/>
    <mergeCell ref="G13:N13"/>
    <mergeCell ref="A14:B14"/>
    <mergeCell ref="G14:N14"/>
    <mergeCell ref="C13:F13"/>
    <mergeCell ref="C14:F14"/>
    <mergeCell ref="A15:B15"/>
    <mergeCell ref="G15:N15"/>
    <mergeCell ref="A16:B16"/>
    <mergeCell ref="G16:N16"/>
    <mergeCell ref="C15:F15"/>
    <mergeCell ref="C16:F16"/>
  </mergeCells>
  <conditionalFormatting sqref="C8:C16 C5:C6 G30:H30">
    <cfRule type="cellIs" priority="1" dxfId="0" operator="equal" stopIfTrue="1">
      <formula>""</formula>
    </cfRule>
  </conditionalFormatting>
  <conditionalFormatting sqref="G21:H21 E21">
    <cfRule type="expression" priority="2" dxfId="1" stopIfTrue="1">
      <formula>"if($E15&lt;&gt;$G15)"</formula>
    </cfRule>
  </conditionalFormatting>
  <dataValidations count="11">
    <dataValidation type="list" allowBlank="1" showInputMessage="1" showErrorMessage="1" sqref="G26">
      <formula1>$Q$27:$R$27</formula1>
    </dataValidation>
    <dataValidation type="list" allowBlank="1" showInputMessage="1" showErrorMessage="1" sqref="G25">
      <formula1>$Q$26:$R$26</formula1>
    </dataValidation>
    <dataValidation type="list" allowBlank="1" showInputMessage="1" showErrorMessage="1" sqref="G27">
      <formula1>$Q$28:$R$28</formula1>
    </dataValidation>
    <dataValidation type="list" allowBlank="1" showInputMessage="1" showErrorMessage="1" sqref="G22:H22">
      <formula1>$Q$22:$R$22</formula1>
    </dataValidation>
    <dataValidation type="list" allowBlank="1" showInputMessage="1" showErrorMessage="1" sqref="G23:H23">
      <formula1>$Q$23:$S$23</formula1>
    </dataValidation>
    <dataValidation type="list" allowBlank="1" showInputMessage="1" showErrorMessage="1" sqref="C9:F9">
      <formula1>$Q$9:$R$9</formula1>
    </dataValidation>
    <dataValidation type="list" allowBlank="1" showInputMessage="1" showErrorMessage="1" sqref="C16:F16">
      <formula1>$Q$16:$R$16</formula1>
    </dataValidation>
    <dataValidation type="list" allowBlank="1" showInputMessage="1" showErrorMessage="1" sqref="G24:H24">
      <formula1>$Q$24:$S$24</formula1>
    </dataValidation>
    <dataValidation type="list" allowBlank="1" showInputMessage="1" showErrorMessage="1" sqref="G21:H21">
      <formula1>IF($C$9="0039",$B$60:$B$68,$A$60:$A$62)</formula1>
    </dataValidation>
    <dataValidation type="list" allowBlank="1" showInputMessage="1" showErrorMessage="1" sqref="C12:F12">
      <formula1>$S$12:$T$12</formula1>
    </dataValidation>
    <dataValidation type="list" allowBlank="1" showInputMessage="1" showErrorMessage="1" sqref="G28">
      <formula1>$Q$29:$R$29</formula1>
    </dataValidation>
  </dataValidation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4"/>
  <dimension ref="B1:C130"/>
  <sheetViews>
    <sheetView workbookViewId="0" topLeftCell="A1">
      <selection activeCell="B5" sqref="B5"/>
    </sheetView>
  </sheetViews>
  <sheetFormatPr defaultColWidth="9.140625" defaultRowHeight="12.75"/>
  <cols>
    <col min="2" max="2" width="77.140625" style="0" customWidth="1"/>
    <col min="3" max="3" width="17.57421875" style="0" customWidth="1"/>
    <col min="4" max="4" width="19.140625" style="0" customWidth="1"/>
    <col min="5" max="5" width="19.00390625" style="0" customWidth="1"/>
  </cols>
  <sheetData>
    <row r="1" spans="2:3" ht="32.25" customHeight="1" thickBot="1">
      <c r="B1" s="211" t="s">
        <v>1336</v>
      </c>
      <c r="C1" s="212" t="s">
        <v>808</v>
      </c>
    </row>
    <row r="5" spans="2:3" ht="12.75">
      <c r="B5" s="213" t="s">
        <v>581</v>
      </c>
      <c r="C5" s="213" t="s">
        <v>1154</v>
      </c>
    </row>
    <row r="6" spans="2:3" ht="12.75">
      <c r="B6" t="str">
        <f>IF(ISERROR(C6)=TRUE,"",IF(C6=" ","",IF('CPV Input'!G17="","",IF(C6=0,"",IF(C6="","",'CPV Input'!G17)))))</f>
        <v>DL_DB_FEATURE_ID_CURRENT_LANGUAGE</v>
      </c>
      <c r="C6" t="str">
        <f>'CPV Input'!L17</f>
        <v>0x0000000E</v>
      </c>
    </row>
    <row r="7" spans="2:3" ht="12.75">
      <c r="B7" t="str">
        <f>IF(ISERROR(C7)=TRUE,"",IF(C7=" ","",IF('CPV Input'!G18="","",IF(C7=0,"",IF(C7="","",'CPV Input'!G18)))))</f>
        <v>DL_DB_FEATURE_ID_CURRENT_TIME_FORMAT</v>
      </c>
      <c r="C7" t="str">
        <f>'CPV Input'!L18</f>
        <v>0x00</v>
      </c>
    </row>
    <row r="8" spans="2:3" ht="12.75">
      <c r="B8" t="str">
        <f>IF(ISERROR(C8)=TRUE,"",IF(C8=" ","",IF('CPV Input'!G19="","",IF(C8=0,"",IF(C8="","",'CPV Input'!G19)))))</f>
        <v>DL_DB_FEATURE_ID_CURRENT_DATE_FORMAT</v>
      </c>
      <c r="C8" t="str">
        <f>'CPV Input'!L19</f>
        <v>0x02</v>
      </c>
    </row>
    <row r="9" spans="2:3" ht="12.75">
      <c r="B9" t="str">
        <f>IF(ISERROR(C9)=TRUE,"",IF(C9=" ","",IF('CPV Input'!G20="","",IF(C9=0,"",IF(C9="","",'CPV Input'!G20)))))</f>
        <v>DL_DB_FEATURE_ID_CURRENT_DTMF_SETTING</v>
      </c>
      <c r="C9" t="str">
        <f>'CPV Input'!L20</f>
        <v>0x02</v>
      </c>
    </row>
    <row r="10" spans="2:3" ht="12.75">
      <c r="B10">
        <f>IF(ISERROR(C10)=TRUE,"",IF(C10=" ","",IF('CPV Input'!#REF!="","",IF(C10=0,"",IF(C10="","",'CPV Input'!#REF!)))))</f>
      </c>
      <c r="C10" t="e">
        <f>'CPV Input'!#REF!</f>
        <v>#REF!</v>
      </c>
    </row>
    <row r="11" spans="2:3" ht="12.75">
      <c r="B11" t="str">
        <f>IF(ISERROR(C11)=TRUE,"",IF(C11=" ","",IF('CPV Input'!G21="","",IF(C11=0,"",IF(C11="","",'CPV Input'!G21)))))</f>
        <v>DL_DB_FEATURE_ID_MULTI_KEY_ANSWER</v>
      </c>
      <c r="C11" t="str">
        <f>'CPV Input'!L21</f>
        <v>0x00</v>
      </c>
    </row>
    <row r="12" spans="2:3" ht="12.75">
      <c r="B12" t="str">
        <f>IF(ISERROR(C12)=TRUE,"",IF(C12=" ","",IF('CPV Input'!G22="","",IF(C12=0,"",IF(C12="","",'CPV Input'!G22)))))</f>
        <v>DL_DB_FEATURE_ID_VOICEMAIL_KEY_AVAILABLE</v>
      </c>
      <c r="C12" t="str">
        <f>'CPV Input'!L22</f>
        <v>1</v>
      </c>
    </row>
    <row r="13" spans="2:3" ht="12.75">
      <c r="B13" t="str">
        <f>IF(ISERROR(C13)=TRUE,"",IF(C13=" ","",IF('CPV Input'!G23="","",IF(C13=0,"",IF(C13="","",'CPV Input'!G23)))))</f>
        <v>DL_DB_FEATURE_ID_PHONE_NUMBER_DISPLAY_FORMAT</v>
      </c>
      <c r="C13" t="str">
        <f>'CPV Input'!L23</f>
        <v>0x00</v>
      </c>
    </row>
    <row r="14" spans="2:3" ht="12.75">
      <c r="B14" t="str">
        <f>IF(ISERROR(C14)=TRUE,"",IF(C14=" ","",IF('CPV Input'!G24="","",IF(C14=0,"",IF(C14="","",'CPV Input'!G24)))))</f>
        <v>DL_DB_FEATURE_ID_DIGITAL_TTY_AVAILABLE</v>
      </c>
      <c r="C14" t="str">
        <f>'CPV Input'!L24</f>
        <v>0</v>
      </c>
    </row>
    <row r="15" spans="2:3" ht="12.75">
      <c r="B15" t="str">
        <f>IF(ISERROR(C15)=TRUE,"",IF(C15=" ","",IF('CPV Input'!G25="","",IF(C15=0,"",IF(C15="","",'CPV Input'!G25)))))</f>
        <v>DL_DB_FEATURE_ID_EMERGENCY_NUMBER</v>
      </c>
      <c r="C15">
        <f>'CPV Input'!L25</f>
        <v>911</v>
      </c>
    </row>
    <row r="16" spans="2:3" ht="12.75">
      <c r="B16" t="str">
        <f>IF(ISERROR(C16)=TRUE,"",IF(C16=" ","",IF('CPV Input'!G26="","",IF(C16=0,"",IF(C16="","",'CPV Input'!G26)))))</f>
        <v>SEEM_VOICE_MAIL_NUMBER</v>
      </c>
      <c r="C16" t="str">
        <f>'CPV Input'!L26</f>
        <v>*2</v>
      </c>
    </row>
    <row r="17" spans="2:3" ht="12.75">
      <c r="B17">
        <f>IF(ISERROR(C17)=TRUE,"",IF(C17=" ","",IF('CPV Input'!#REF!="","",IF(C17=0,"",IF(C17="","",'CPV Input'!#REF!)))))</f>
      </c>
      <c r="C17" t="e">
        <f>'CPV Input'!#REF!</f>
        <v>#REF!</v>
      </c>
    </row>
    <row r="18" spans="2:3" ht="12.75">
      <c r="B18">
        <f>IF(ISERROR(C18)=TRUE,"",IF(C18=" ","",IF('CPV Input'!#REF!="","",IF(C18=0,"",IF(C18="","",'CPV Input'!#REF!)))))</f>
      </c>
      <c r="C18" t="e">
        <f>'CPV Input'!#REF!</f>
        <v>#REF!</v>
      </c>
    </row>
    <row r="19" spans="2:3" ht="12.75">
      <c r="B19">
        <f>IF(ISERROR(C19)=TRUE,"",IF(C19=" ","",IF('CPV Input'!#REF!="","",IF(C19=0,"",IF(C19="","",'CPV Input'!#REF!)))))</f>
      </c>
      <c r="C19" t="e">
        <f>'CPV Input'!#REF!</f>
        <v>#REF!</v>
      </c>
    </row>
    <row r="20" spans="2:3" ht="12.75">
      <c r="B20">
        <f>IF(ISERROR(C20)=TRUE,"",IF(C20=" ","",IF('CPV Input'!#REF!="","",IF(C20=0,"",IF(C20="","",'CPV Input'!#REF!)))))</f>
      </c>
      <c r="C20" t="e">
        <f>'CPV Input'!#REF!</f>
        <v>#REF!</v>
      </c>
    </row>
    <row r="21" spans="2:3" ht="12.75">
      <c r="B21">
        <f>IF(ISERROR(C21)=TRUE,"",IF(C21=" ","",IF('CPV Input'!#REF!="","",IF(C21=0,"",IF(C21="","",'CPV Input'!#REF!)))))</f>
      </c>
      <c r="C21" t="e">
        <f>'CPV Input'!#REF!</f>
        <v>#REF!</v>
      </c>
    </row>
    <row r="22" spans="2:3" ht="12.75">
      <c r="B22">
        <f>IF(ISERROR(C22)=TRUE,"",IF(C22=" ","",IF('CPV Input'!G27="","",IF(C22=0,"",IF(C22="","",'CPV Input'!G27)))))</f>
      </c>
      <c r="C22">
        <f>'CPV Input'!L27</f>
        <v>0</v>
      </c>
    </row>
    <row r="23" spans="2:3" ht="12.75">
      <c r="B23">
        <f>IF(ISERROR(C23)=TRUE,"",IF(C23=" ","",IF('CPV Input'!G28="","",IF(C23=0,"",IF(C23="","",'CPV Input'!G28)))))</f>
      </c>
      <c r="C23">
        <f>'CPV Input'!L28</f>
        <v>0</v>
      </c>
    </row>
    <row r="24" spans="2:3" ht="12.75">
      <c r="B24">
        <f>IF(ISERROR(C24)=TRUE,"",IF(C24=" ","",IF('CPV Input'!G29="","",IF(C24=0,"",IF(C24="","",'CPV Input'!G29)))))</f>
      </c>
      <c r="C24">
        <f>'CPV Input'!L29</f>
        <v>0</v>
      </c>
    </row>
    <row r="25" spans="2:3" ht="12.75">
      <c r="B25">
        <f>IF(ISERROR(C25)=TRUE,"",IF(C25=" ","",IF('CPV Input'!G30="","",IF(C25=0,"",IF(C25="","",'CPV Input'!G30)))))</f>
      </c>
      <c r="C25">
        <f>'CPV Input'!L30</f>
        <v>0</v>
      </c>
    </row>
    <row r="26" spans="2:3" ht="12.75">
      <c r="B26">
        <f>IF(ISERROR(C26)=TRUE,"",IF(C26=" ","",IF('CPV Input'!G31="","",IF(C26=0,"",IF(C26="","",'CPV Input'!G31)))))</f>
      </c>
      <c r="C26">
        <f>'CPV Input'!L31</f>
        <v>0</v>
      </c>
    </row>
    <row r="27" spans="2:3" ht="12.75">
      <c r="B27">
        <f>IF(ISERROR(C27)=TRUE,"",IF(C27=" ","",IF('CPV Input'!#REF!="","",IF(C27=0,"",IF(C27="","",'CPV Input'!#REF!)))))</f>
      </c>
      <c r="C27" t="e">
        <f>'CPV Input'!#REF!</f>
        <v>#REF!</v>
      </c>
    </row>
    <row r="28" spans="2:3" ht="12.75">
      <c r="B28">
        <f>IF(ISERROR(C28)=TRUE,"",IF(C28=" ","",IF('CPV Input'!G32="","",IF(C28=0,"",IF(C28="","",'CPV Input'!G32)))))</f>
      </c>
      <c r="C28">
        <f>'CPV Input'!L32</f>
        <v>0</v>
      </c>
    </row>
    <row r="29" spans="2:3" ht="12.75">
      <c r="B29">
        <f>IF(ISERROR(C29)=TRUE,"",IF(C29=" ","",IF('CPV Input'!G33="","",IF(C29=0,"",IF(C29="","",'CPV Input'!G33)))))</f>
      </c>
      <c r="C29">
        <f>'CPV Input'!L33</f>
        <v>0</v>
      </c>
    </row>
    <row r="30" spans="2:3" ht="12.75">
      <c r="B30">
        <f>IF(ISERROR(C30)=TRUE,"",IF(C30=" ","",IF('CPV Input'!#REF!="","",IF(C30=0,"",IF(C30="","",'CPV Input'!#REF!)))))</f>
      </c>
      <c r="C30" t="e">
        <f>'CPV Input'!#REF!</f>
        <v>#REF!</v>
      </c>
    </row>
    <row r="31" spans="2:3" ht="12.75">
      <c r="B31">
        <f>IF(ISERROR(C31)=TRUE,"",IF(C31=" ","",IF('CPV Input'!#REF!="","",IF(C31=0,"",IF(C31="","",'CPV Input'!#REF!)))))</f>
      </c>
      <c r="C31" t="e">
        <f>'CPV Input'!#REF!</f>
        <v>#REF!</v>
      </c>
    </row>
    <row r="32" spans="2:3" ht="12.75">
      <c r="B32">
        <f>IF(ISERROR(C32)=TRUE,"",IF(C32=" ","",IF('CPV Input'!#REF!="","",IF(C32=0,"",IF(C32="","",'CPV Input'!#REF!)))))</f>
      </c>
      <c r="C32" t="e">
        <f>'CPV Input'!#REF!</f>
        <v>#REF!</v>
      </c>
    </row>
    <row r="33" spans="2:3" ht="12.75">
      <c r="B33">
        <f>IF(ISERROR(C33)=TRUE,"",IF(C33=" ","",IF('CPV Input'!#REF!="","",IF(C33=0,"",IF(C33="","",'CPV Input'!#REF!)))))</f>
      </c>
      <c r="C33" t="e">
        <f>'CPV Input'!#REF!</f>
        <v>#REF!</v>
      </c>
    </row>
    <row r="34" spans="2:3" ht="12.75">
      <c r="B34">
        <f>IF(ISERROR(C34)=TRUE,"",IF(C34=" ","",IF('CPV Input'!#REF!="","",IF(C34=0,"",IF(C34="","",'CPV Input'!#REF!)))))</f>
      </c>
      <c r="C34" t="e">
        <f>'CPV Input'!#REF!</f>
        <v>#REF!</v>
      </c>
    </row>
    <row r="35" spans="2:3" ht="12.75">
      <c r="B35">
        <f>IF(ISERROR(C35)=TRUE,"",IF(C35=" ","",IF('CPV Input'!G34="","",IF(C35=0,"",IF(C35="","",'CPV Input'!G34)))))</f>
      </c>
      <c r="C35">
        <f>'CPV Input'!L34</f>
        <v>0</v>
      </c>
    </row>
    <row r="36" spans="2:3" ht="12.75">
      <c r="B36">
        <f>IF(ISERROR(C36)=TRUE,"",IF(C36=" ","",IF('CPV Input'!G35="","",IF(C36=0,"",IF(C36="","",'CPV Input'!G35)))))</f>
      </c>
      <c r="C36">
        <f>'CPV Input'!L35</f>
        <v>0</v>
      </c>
    </row>
    <row r="37" spans="2:3" ht="12.75">
      <c r="B37">
        <f>IF(ISERROR(C37)=TRUE,"",IF(C37=" ","",IF('CPV Input'!G36="","",IF(C37=0,"",IF(C37="","",'CPV Input'!G36)))))</f>
      </c>
      <c r="C37">
        <f>'CPV Input'!L36</f>
        <v>0</v>
      </c>
    </row>
    <row r="38" spans="2:3" ht="12.75">
      <c r="B38" t="str">
        <f>IF(ISERROR(C38)=TRUE,"",IF(C38=" ","",IF('CPV Input'!G37="","",IF(C38=0,"",IF(C38="","",'CPV Input'!G37)))))</f>
        <v>DL_DB_FEATURE_ID_ANALOG_CLOCK_LOOK </v>
      </c>
      <c r="C38" t="str">
        <f>'CPV Input'!L37</f>
        <v>0x00</v>
      </c>
    </row>
    <row r="39" spans="2:3" ht="12.75">
      <c r="B39" t="str">
        <f>IF(ISERROR(C39)=TRUE,"",IF(C39=" ","",IF('CPV Input'!G38="","",IF(C39=0,"",IF(C39="","",'CPV Input'!G38)))))</f>
        <v>DL_DB_FEATURE_ID_ACTIVE_ALERT_TYPE </v>
      </c>
      <c r="C39" t="str">
        <f>'CPV Input'!L38</f>
        <v>0x00</v>
      </c>
    </row>
    <row r="40" spans="2:3" ht="12.75">
      <c r="B40">
        <f>IF(ISERROR(C40)=TRUE,"",IF(C40=" ","",IF('CPV Input'!G40="","",IF(C40=0,"",IF(C40="","",'CPV Input'!G40)))))</f>
      </c>
      <c r="C40">
        <f>'CPV Input'!L40</f>
        <v>0</v>
      </c>
    </row>
    <row r="41" spans="2:3" ht="12.75">
      <c r="B41">
        <f>IF(ISERROR(C41)=TRUE,"",IF(C41=" ","",IF('CPV Input'!#REF!="","",IF(C41=0,"",IF(C41="","",'CPV Input'!#REF!)))))</f>
      </c>
      <c r="C41" t="e">
        <f>'CPV Input'!#REF!</f>
        <v>#REF!</v>
      </c>
    </row>
    <row r="42" spans="2:3" ht="12.75">
      <c r="B42">
        <f>IF(ISERROR(C42)=TRUE,"",IF(C42=" ","",IF('CPV Input'!#REF!="","",IF(C42=0,"",IF(C42="","",'CPV Input'!#REF!)))))</f>
      </c>
      <c r="C42" t="e">
        <f>'CPV Input'!#REF!</f>
        <v>#REF!</v>
      </c>
    </row>
    <row r="43" spans="2:3" ht="12.75">
      <c r="B43">
        <f>IF(ISERROR(C43)=TRUE,"",IF(C43=" ","",IF('CPV Input'!#REF!="","",IF(C43=0,"",IF(C43="","",'CPV Input'!#REF!)))))</f>
      </c>
      <c r="C43" t="e">
        <f>'CPV Input'!#REF!</f>
        <v>#REF!</v>
      </c>
    </row>
    <row r="44" spans="2:3" ht="12.75">
      <c r="B44">
        <f>IF(ISERROR(C44)=TRUE,"",IF(C44=" ","",IF('CPV Input'!#REF!="","",IF(C44=0,"",IF(C44="","",'CPV Input'!#REF!)))))</f>
      </c>
      <c r="C44" t="e">
        <f>'CPV Input'!#REF!</f>
        <v>#REF!</v>
      </c>
    </row>
    <row r="45" spans="2:3" ht="12.75">
      <c r="B45">
        <f>IF(ISERROR(C45)=TRUE,"",IF(C45=" ","",IF('CPV Input'!#REF!="","",IF(C45=0,"",IF(C45="","",'CPV Input'!#REF!)))))</f>
      </c>
      <c r="C45" t="e">
        <f>'CPV Input'!#REF!</f>
        <v>#REF!</v>
      </c>
    </row>
    <row r="46" spans="2:3" ht="12.75">
      <c r="B46">
        <f>IF(ISERROR(C46)=TRUE,"",IF(C46=" ","",IF('CPV Input'!#REF!="","",IF(C46=0,"",IF(C46="","",'CPV Input'!#REF!)))))</f>
      </c>
      <c r="C46" t="e">
        <f>'CPV Input'!#REF!</f>
        <v>#REF!</v>
      </c>
    </row>
    <row r="47" spans="2:3" ht="12.75">
      <c r="B47">
        <f>IF(ISERROR(C47)=TRUE,"",IF(C47=" ","",IF('CPV Input'!G71="","",IF(C47=0,"",IF(C47="","",'CPV Input'!G71)))))</f>
      </c>
      <c r="C47">
        <f>'CPV Input'!L71</f>
        <v>0</v>
      </c>
    </row>
    <row r="48" spans="2:3" ht="12.75">
      <c r="B48" t="str">
        <f>IF(ISERROR(C48)=TRUE,"",IF(C48=" ","",IF('CPV Input'!G72="","",IF(C48=0,"",IF(C48="","",'CPV Input'!G72)))))</f>
        <v>DL_DB_FEATURE_ID_SIM_LANGUAGE_AVAILABLE</v>
      </c>
      <c r="C48" t="str">
        <f>'CPV Input'!L72</f>
        <v>1</v>
      </c>
    </row>
    <row r="49" spans="2:3" ht="12.75">
      <c r="B49" t="str">
        <f>IF(ISERROR(C49)=TRUE,"",IF(C49=" ","",IF('CPV Input'!G73="","",IF(C49=0,"",IF(C49="","",'CPV Input'!G73)))))</f>
        <v>DL_DB_FEATURE_ID_CURRENT_TURBO_DIAL</v>
      </c>
      <c r="C49" t="str">
        <f>'CPV Input'!L73</f>
        <v>0x01</v>
      </c>
    </row>
    <row r="50" spans="2:3" ht="12.75">
      <c r="B50" t="str">
        <f>IF(ISERROR(C50)=TRUE,"",IF(C50=" ","",IF('CPV Input'!G74="","",IF(C50=0,"",IF(C50="","",'CPV Input'!G74)))))</f>
        <v>DL_DB_FEATURE_ID_NETWORK_SEARCH_FREQUENCY</v>
      </c>
      <c r="C50" t="str">
        <f>'CPV Input'!L74</f>
        <v>0x01</v>
      </c>
    </row>
    <row r="51" spans="2:3" ht="12.75">
      <c r="B51" t="str">
        <f>IF(ISERROR(C51)=TRUE,"",IF(C51=" ","",IF('CPV Input'!G75="","",IF(C51=0,"",IF(C51="","",'CPV Input'!G75)))))</f>
        <v>DL_DB_FEATURE_ID_CPHS_PHONE_AVAILABLE</v>
      </c>
      <c r="C51" t="str">
        <f>'CPV Input'!L75</f>
        <v>1</v>
      </c>
    </row>
    <row r="52" spans="2:3" ht="12.75">
      <c r="B52" t="str">
        <f>IF(ISERROR(C52)=TRUE,"",IF(C52=" ","",IF('CPV Input'!G76="","",IF(C52=0,"",IF(C52="","",'CPV Input'!G76)))))</f>
        <v>DL_DB_FEATURE_ID_DUAL_LINE_PHONE_AVAILABLE</v>
      </c>
      <c r="C52" t="str">
        <f>'CPV Input'!L76</f>
        <v>1</v>
      </c>
    </row>
    <row r="53" spans="2:3" ht="12.75">
      <c r="B53" t="str">
        <f>IF(ISERROR(C53)=TRUE,"",IF(C53=" ","",IF('CPV Input'!G77="","",IF(C53=0,"",IF(C53="","",'CPV Input'!G77)))))</f>
        <v>DL_DB_FEATURE_ID_AUTOMATIC_PIN_UNBLOCK_AVAILABLE</v>
      </c>
      <c r="C53" t="str">
        <f>'CPV Input'!L77</f>
        <v>1</v>
      </c>
    </row>
    <row r="54" spans="2:3" ht="12.75">
      <c r="B54">
        <f>IF(ISERROR(C54)=TRUE,"",IF(C54=" ","",IF('CPV Input'!G78="","",IF(C54=0,"",IF(C54="","",'CPV Input'!G78)))))</f>
      </c>
      <c r="C54" t="e">
        <f>'CPV Input'!L78</f>
        <v>#NAME?</v>
      </c>
    </row>
    <row r="55" spans="2:3" ht="12.75">
      <c r="B55">
        <f>IF(ISERROR(C55)=TRUE,"",IF(C55=" ","",IF('CPV Input'!G79="","",IF(C55=0,"",IF(C55="","",'CPV Input'!G79)))))</f>
      </c>
      <c r="C55" t="e">
        <f>'CPV Input'!L79</f>
        <v>#NAME?</v>
      </c>
    </row>
    <row r="56" spans="2:3" ht="12.75">
      <c r="B56" t="str">
        <f>IF(ISERROR(C56)=TRUE,"",IF(C56=" ","",IF('CPV Input'!G80="","",IF(C56=0,"",IF(C56="","",'CPV Input'!G80)))))</f>
        <v>DL_DB_FEATURE_ID_STORE_ALL_SMS_TO_SIM_AVAILABLE</v>
      </c>
      <c r="C56" t="str">
        <f>'CPV Input'!L80</f>
        <v>1</v>
      </c>
    </row>
    <row r="57" spans="2:3" ht="12.75">
      <c r="B57" t="str">
        <f>IF(ISERROR(C57)=TRUE,"",IF(C57=" ","",IF('CPV Input'!G81="","",IF(C57=0,"",IF(C57="","",'CPV Input'!G81)))))</f>
        <v>DL_DB_FEATURE_ID_MMS_SIM_CHANGE_DELETE</v>
      </c>
      <c r="C57" t="str">
        <f>'CPV Input'!L81</f>
        <v>0x01</v>
      </c>
    </row>
    <row r="58" spans="2:3" ht="12.75">
      <c r="B58">
        <f>IF(ISERROR(C58)=TRUE,"",IF(C58=" ","",IF('CPV Input'!G82="","",IF(C58=0,"",IF(C58="","",'CPV Input'!G82)))))</f>
      </c>
      <c r="C58">
        <f>'CPV Input'!L82</f>
        <v>0</v>
      </c>
    </row>
    <row r="59" spans="2:3" ht="12.75">
      <c r="B59" t="str">
        <f>IF(ISERROR(C59)=TRUE,"",IF(C59=" ","",IF('CPV Input'!G83="","",IF(C59=0,"",IF(C59="","",'CPV Input'!G83)))))</f>
        <v>DL_DB_FEATURE_ID_EMS_ALLOW_FWD_CONTENTS_AVAILABLE</v>
      </c>
      <c r="C59" t="str">
        <f>'CPV Input'!L83</f>
        <v>1</v>
      </c>
    </row>
    <row r="60" spans="2:3" ht="12.75">
      <c r="B60" t="str">
        <f>IF(ISERROR(C60)=TRUE,"",IF(C60=" ","",IF('CPV Input'!G84="","",IF(C60=0,"",IF(C60="","",'CPV Input'!G84)))))</f>
        <v>DL_DB_FEATURE_ID_UNICODE_MOSMS_AVAILABLE</v>
      </c>
      <c r="C60" t="str">
        <f>'CPV Input'!L84</f>
        <v>0</v>
      </c>
    </row>
    <row r="61" spans="2:3" ht="12.75">
      <c r="B61">
        <f>IF(ISERROR(C61)=TRUE,"",IF(C61=" ","",IF('CPV Input'!G85="","",IF(C61=0,"",IF(C61="","",'CPV Input'!G85)))))</f>
      </c>
      <c r="C61" t="str">
        <f>'CPV Input'!L85</f>
        <v> </v>
      </c>
    </row>
    <row r="62" spans="2:3" ht="12.75">
      <c r="B62" t="str">
        <f>IF(ISERROR(C62)=TRUE,"",IF(C62=" ","",IF('CPV Input'!G86="","",IF(C62=0,"",IF(C62="","",'CPV Input'!G86)))))</f>
        <v>DL_DB_FEATURE_ID_PRIMARY_MESSAGE_METHOD</v>
      </c>
      <c r="C62" t="str">
        <f>'CPV Input'!L86</f>
        <v>0x02</v>
      </c>
    </row>
    <row r="63" spans="2:3" ht="12.75">
      <c r="B63" t="str">
        <f>IF(ISERROR(C63)=TRUE,"",IF(C63=" ","",IF('CPV Input'!G87="","",IF(C63=0,"",IF(C63="","",'CPV Input'!G87)))))</f>
        <v>DL_DB_FEATURE_ID_SECONDARY_MESSAGE_METHOD</v>
      </c>
      <c r="C63" t="str">
        <f>'CPV Input'!L87</f>
        <v>0x04</v>
      </c>
    </row>
    <row r="64" spans="2:3" ht="12.75">
      <c r="B64" t="str">
        <f>IF(ISERROR(C64)=TRUE,"",IF(C64=" ","",IF('CPV Input'!G88="","",IF(C64=0,"",IF(C64="","",'CPV Input'!G88)))))</f>
        <v>DL_DB_FEATURE_ID_GENERAL_CELL_BROADCAST</v>
      </c>
      <c r="C64" t="str">
        <f>'CPV Input'!L88</f>
        <v>0x01</v>
      </c>
    </row>
    <row r="65" spans="2:3" ht="12.75">
      <c r="B65">
        <f>IF(ISERROR(C65)=TRUE,"",IF(C65=" ","",IF('CPV Input'!G89="","",IF(C65=0,"",IF(C65="","",'CPV Input'!G89)))))</f>
      </c>
      <c r="C65" t="e">
        <f>'CPV Input'!L89</f>
        <v>#NAME?</v>
      </c>
    </row>
    <row r="66" spans="2:3" ht="12.75">
      <c r="B66" t="str">
        <f>IF(ISERROR(C66)=TRUE,"",IF(C66=" ","",IF('CPV Input'!G90="","",IF(C66=0,"",IF(C66="","",'CPV Input'!G90)))))</f>
        <v>DL_DB_FEATURE_ID_SAVE_QUICK_VIEW_MESSAGE</v>
      </c>
      <c r="C66" t="str">
        <f>'CPV Input'!L90</f>
        <v>0x00</v>
      </c>
    </row>
    <row r="67" spans="2:3" ht="12.75">
      <c r="B67" t="str">
        <f>IF(ISERROR(C67)=TRUE,"",IF(C67=" ","",IF('CPV Input'!G91="","",IF(C67=0,"",IF(C67="","",'CPV Input'!G91)))))</f>
        <v>DL_DB_FEATURE_ID_SMS_READ_RECEIPT_AVAILABLE</v>
      </c>
      <c r="C67" t="str">
        <f>'CPV Input'!L91</f>
        <v>0</v>
      </c>
    </row>
    <row r="68" spans="2:3" ht="12.75">
      <c r="B68" t="str">
        <f>IF(ISERROR(C68)=TRUE,"",IF(C68=" ","",IF('CPV Input'!G92="","",IF(C68=0,"",IF(C68="","",'CPV Input'!G92)))))</f>
        <v>SEEM_MMS_SERVER_URI</v>
      </c>
      <c r="C68" t="str">
        <f>'CPV Input'!L92</f>
        <v>http://mms.movistar.com.ve:8088/mms</v>
      </c>
    </row>
    <row r="69" spans="2:3" ht="12.75">
      <c r="B69" t="str">
        <f>IF(ISERROR(C69)=TRUE,"",IF(C69=" ","",IF('CPV Input'!G93="","",IF(C69=0,"",IF(C69="","",'CPV Input'!G93)))))</f>
        <v>SEEM_MMS_SERVER_INFO</v>
      </c>
      <c r="C69" t="str">
        <f>'CPV Input'!L93</f>
        <v>MMS</v>
      </c>
    </row>
    <row r="70" spans="2:3" ht="12.75">
      <c r="B70">
        <f>IF(ISERROR(C70)=TRUE,"",IF(C70=" ","",IF('CPV Input'!G94="","",IF(C70=0,"",IF(C70="","",'CPV Input'!G94)))))</f>
      </c>
      <c r="C70" t="e">
        <f>'CPV Input'!L94</f>
        <v>#NAME?</v>
      </c>
    </row>
    <row r="71" spans="2:3" ht="12.75">
      <c r="B71" t="str">
        <f>IF(ISERROR(C71)=TRUE,"",IF(C71=" ","",IF('CPV Input'!G95="","",IF(C71=0,"",IF(C71="","",'CPV Input'!G95)))))</f>
        <v> DL_DB_FEATURE_ID_MMS_DOWNLOAD_SIZE_LIMIT</v>
      </c>
      <c r="C71" t="str">
        <f>'CPV Input'!L95</f>
        <v>0x00000000</v>
      </c>
    </row>
    <row r="72" spans="2:3" ht="12.75">
      <c r="B72">
        <f>IF(ISERROR(C72)=TRUE,"",IF(C72=" ","",IF('CPV Input'!#REF!="","",IF(C72=0,"",IF(C72="","",'CPV Input'!#REF!)))))</f>
      </c>
      <c r="C72" t="e">
        <f>'CPV Input'!#REF!</f>
        <v>#REF!</v>
      </c>
    </row>
    <row r="73" spans="2:3" ht="12.75">
      <c r="B73">
        <f>IF(ISERROR(C73)=TRUE,"",IF(C73=" ","",IF('CPV Input'!#REF!="","",IF(C73=0,"",IF(C73="","",'CPV Input'!#REF!)))))</f>
      </c>
      <c r="C73" t="e">
        <f>'CPV Input'!#REF!</f>
        <v>#REF!</v>
      </c>
    </row>
    <row r="74" spans="2:3" ht="12.75">
      <c r="B74">
        <f>IF(ISERROR(C74)=TRUE,"",IF(C74=" ","",IF('CPV Input'!#REF!="","",IF(C74=0,"",IF(C74="","",'CPV Input'!#REF!)))))</f>
      </c>
      <c r="C74" t="e">
        <f>'CPV Input'!#REF!</f>
        <v>#REF!</v>
      </c>
    </row>
    <row r="75" spans="2:3" ht="12.75">
      <c r="B75">
        <f>IF(ISERROR(C75)=TRUE,"",IF(C75=" ","",IF('CPV Input'!#REF!="","",IF(C75=0,"",IF(C75="","",'CPV Input'!#REF!)))))</f>
      </c>
      <c r="C75" t="e">
        <f>'CPV Input'!#REF!</f>
        <v>#REF!</v>
      </c>
    </row>
    <row r="76" spans="2:3" ht="12.75">
      <c r="B76">
        <f>IF(ISERROR(C76)=TRUE,"",IF(C76=" ","",IF('CPV Input'!#REF!="","",IF(C76=0,"",IF(C76="","",'CPV Input'!#REF!)))))</f>
      </c>
      <c r="C76" t="e">
        <f>'CPV Input'!#REF!</f>
        <v>#REF!</v>
      </c>
    </row>
    <row r="77" spans="2:3" ht="12.75">
      <c r="B77">
        <f>IF(ISERROR(C77)=TRUE,"",IF(C77=" ","",IF('CPV Input'!#REF!="","",IF(C77=0,"",IF(C77="","",'CPV Input'!#REF!)))))</f>
      </c>
      <c r="C77" t="e">
        <f>'CPV Input'!#REF!</f>
        <v>#REF!</v>
      </c>
    </row>
    <row r="78" spans="2:3" ht="12.75">
      <c r="B78">
        <f>IF(ISERROR(C78)=TRUE,"",IF(C78=" ","",IF('CPV Input'!#REF!="","",IF(C78=0,"",IF(C78="","",'CPV Input'!#REF!)))))</f>
      </c>
      <c r="C78" t="e">
        <f>'CPV Input'!#REF!</f>
        <v>#REF!</v>
      </c>
    </row>
    <row r="79" spans="2:3" ht="12.75">
      <c r="B79">
        <f>IF(ISERROR(C79)=TRUE,"",IF(C79=" ","",IF('CPV Input'!#REF!="","",IF(C79=0,"",IF(C79="","",'CPV Input'!#REF!)))))</f>
      </c>
      <c r="C79" t="e">
        <f>'CPV Input'!#REF!</f>
        <v>#REF!</v>
      </c>
    </row>
    <row r="80" spans="2:3" ht="12.75">
      <c r="B80">
        <f>IF(ISERROR(C80)=TRUE,"",IF(C80=" ","",IF('CPV Input'!#REF!="","",IF(C80=0,"",IF(C80="","",'CPV Input'!#REF!)))))</f>
      </c>
      <c r="C80" t="e">
        <f>'CPV Input'!#REF!</f>
        <v>#REF!</v>
      </c>
    </row>
    <row r="81" spans="2:3" ht="12.75">
      <c r="B81">
        <f>IF(ISERROR(C81)=TRUE,"",IF(C81=" ","",IF('CPV Input'!#REF!="","",IF(C81=0,"",IF(C81="","",'CPV Input'!#REF!)))))</f>
      </c>
      <c r="C81" t="e">
        <f>'CPV Input'!#REF!</f>
        <v>#REF!</v>
      </c>
    </row>
    <row r="82" spans="2:3" ht="12.75">
      <c r="B82">
        <f>IF(ISERROR(C82)=TRUE,"",IF(C82=" ","",IF('CPV Input'!#REF!="","",IF(C82=0,"",IF(C82="","",'CPV Input'!#REF!)))))</f>
      </c>
      <c r="C82" t="e">
        <f>'CPV Input'!#REF!</f>
        <v>#REF!</v>
      </c>
    </row>
    <row r="83" spans="2:3" ht="12.75">
      <c r="B83">
        <f>IF(ISERROR(C83)=TRUE,"",IF(C83=" ","",IF('CPV Input'!#REF!="","",IF(C83=0,"",IF(C83="","",'CPV Input'!#REF!)))))</f>
      </c>
      <c r="C83" t="e">
        <f>'CPV Input'!#REF!</f>
        <v>#REF!</v>
      </c>
    </row>
    <row r="84" spans="2:3" ht="12.75">
      <c r="B84">
        <f>IF(ISERROR(C84)=TRUE,"",IF(C84=" ","",IF('CPV Input'!#REF!="","",IF(C84=0,"",IF(C84="","",'CPV Input'!#REF!)))))</f>
      </c>
      <c r="C84" t="e">
        <f>'CPV Input'!#REF!</f>
        <v>#REF!</v>
      </c>
    </row>
    <row r="85" spans="2:3" ht="12.75">
      <c r="B85">
        <f>IF(ISERROR(C85)=TRUE,"",IF(C85=" ","",IF('CPV Input'!#REF!="","",IF(C85=0,"",IF(C85="","",'CPV Input'!#REF!)))))</f>
      </c>
      <c r="C85" t="e">
        <f>'CPV Input'!#REF!</f>
        <v>#REF!</v>
      </c>
    </row>
    <row r="86" spans="2:3" ht="12.75">
      <c r="B86">
        <f>IF(ISERROR(C86)=TRUE,"",IF(C86=" ","",IF('CPV Input'!#REF!="","",IF(C86=0,"",IF(C86="","",'CPV Input'!#REF!)))))</f>
      </c>
      <c r="C86" t="e">
        <f>'CPV Input'!#REF!</f>
        <v>#REF!</v>
      </c>
    </row>
    <row r="87" spans="2:3" ht="12.75">
      <c r="B87">
        <f>IF(ISERROR(C87)=TRUE,"",IF(C87=" ","",IF('CPV Input'!#REF!="","",IF(C87=0,"",IF(C87="","",'CPV Input'!#REF!)))))</f>
      </c>
      <c r="C87" t="e">
        <f>'CPV Input'!#REF!</f>
        <v>#REF!</v>
      </c>
    </row>
    <row r="88" spans="2:3" ht="12.75">
      <c r="B88">
        <f>IF(ISERROR(C88)=TRUE,"",IF(C88=" ","",IF('CPV Input'!#REF!="","",IF(C88=0,"",IF(C88="","",'CPV Input'!#REF!)))))</f>
      </c>
      <c r="C88" t="e">
        <f>'CPV Input'!#REF!</f>
        <v>#REF!</v>
      </c>
    </row>
    <row r="89" spans="2:3" ht="12.75">
      <c r="B89">
        <f>IF(ISERROR(C89)=TRUE,"",IF(C89=" ","",IF('CPV Input'!#REF!="","",IF(C89=0,"",IF(C89="","",'CPV Input'!#REF!)))))</f>
      </c>
      <c r="C89" t="e">
        <f>'CPV Input'!#REF!</f>
        <v>#REF!</v>
      </c>
    </row>
    <row r="90" spans="2:3" ht="12.75">
      <c r="B90">
        <f>IF(ISERROR(C90)=TRUE,"",IF(C90=" ","",IF('CPV Input'!#REF!="","",IF(C90=0,"",IF(C90="","",'CPV Input'!#REF!)))))</f>
      </c>
      <c r="C90" t="e">
        <f>'CPV Input'!#REF!</f>
        <v>#REF!</v>
      </c>
    </row>
    <row r="91" spans="2:3" ht="12.75">
      <c r="B91">
        <f>IF(ISERROR(C91)=TRUE,"",IF(C91=" ","",IF('CPV Input'!#REF!="","",IF(C91=0,"",IF(C91="","",'CPV Input'!#REF!)))))</f>
      </c>
      <c r="C91" t="e">
        <f>'CPV Input'!#REF!</f>
        <v>#REF!</v>
      </c>
    </row>
    <row r="92" spans="2:3" ht="12.75">
      <c r="B92">
        <f>IF(ISERROR(C92)=TRUE,"",IF(C92=" ","",IF('CPV Input'!#REF!="","",IF(C92=0,"",IF(C92="","",'CPV Input'!#REF!)))))</f>
      </c>
      <c r="C92" t="e">
        <f>'CPV Input'!#REF!</f>
        <v>#REF!</v>
      </c>
    </row>
    <row r="93" spans="2:3" ht="12.75">
      <c r="B93">
        <f>IF(ISERROR(C93)=TRUE,"",IF(C93=" ","",IF('CPV Input'!#REF!="","",IF(C93=0,"",IF(C93="","",'CPV Input'!#REF!)))))</f>
      </c>
      <c r="C93" t="e">
        <f>'CPV Input'!#REF!</f>
        <v>#REF!</v>
      </c>
    </row>
    <row r="94" spans="2:3" ht="12.75">
      <c r="B94">
        <f>IF(ISERROR(C94)=TRUE,"",IF(C94=" ","",IF('CPV Input'!G96="","",IF(C94=0,"",IF(C94="","",'CPV Input'!G96)))))</f>
      </c>
      <c r="C94">
        <f>'CPV Input'!L96</f>
        <v>0</v>
      </c>
    </row>
    <row r="95" spans="2:3" ht="12.75">
      <c r="B95">
        <f>IF(ISERROR(C95)=TRUE,"",IF(C95=" ","",IF('CPV Input'!G97="","",IF(C95=0,"",IF(C95="","",'CPV Input'!G97)))))</f>
      </c>
      <c r="C95" t="e">
        <f>'CPV Input'!L97</f>
        <v>#NAME?</v>
      </c>
    </row>
    <row r="96" spans="2:3" ht="12.75">
      <c r="B96">
        <f>IF(ISERROR(C96)=TRUE,"",IF(C96=" ","",IF('CPV Input'!G98="","",IF(C96=0,"",IF(C96="","",'CPV Input'!G98)))))</f>
      </c>
      <c r="C96" t="e">
        <f>'CPV Input'!L98</f>
        <v>#NAME?</v>
      </c>
    </row>
    <row r="97" spans="2:3" ht="12.75">
      <c r="B97">
        <f>IF(ISERROR(C97)=TRUE,"",IF(C97=" ","",IF('CPV Input'!G99="","",IF(C97=0,"",IF(C97="","",'CPV Input'!G99)))))</f>
      </c>
      <c r="C97" t="e">
        <f>'CPV Input'!L99</f>
        <v>#NAME?</v>
      </c>
    </row>
    <row r="98" spans="2:3" ht="12.75">
      <c r="B98" t="str">
        <f>IF(ISERROR(C98)=TRUE,"",IF(C98=" ","",IF('CPV Input'!G100="","",IF(C98=0,"",IF(C98="","",'CPV Input'!G100)))))</f>
        <v>FLEX_SUBSIDY_LOCK_GSM_PRIMARY_FACTORY_LOCK_TYPE</v>
      </c>
      <c r="C98" t="str">
        <f>'CPV Input'!L100</f>
        <v>0x08</v>
      </c>
    </row>
    <row r="99" spans="2:3" ht="12.75">
      <c r="B99" t="str">
        <f>IF(ISERROR(C99)=TRUE,"",IF(C99=" ","",IF('CPV Input'!G101="","",IF(C99=0,"",IF(C99="","",'CPV Input'!G101)))))</f>
        <v>FLEX_SUBSIDY_LOCK_GSM_HPLMN_LIST_01</v>
      </c>
      <c r="C99" t="str">
        <f>'CPV Input'!L101</f>
        <v>0x37,0x32,0x21</v>
      </c>
    </row>
    <row r="100" spans="2:3" ht="12.75">
      <c r="B100" t="str">
        <f>IF(ISERROR(C100)=TRUE,"",IF(C100=" ","",IF('CPV Input'!G102="","",IF(C100=0,"",IF(C100="","",'CPV Input'!G102)))))</f>
        <v>FLEX_SUBSIDY_LOCK_GSM_HPLMN_LIST_02</v>
      </c>
      <c r="C100" t="str">
        <f>'CPV Input'!L102</f>
        <v>0x07.0xF4,0x30</v>
      </c>
    </row>
    <row r="101" spans="2:3" ht="12.75">
      <c r="B101" t="str">
        <f>IF(ISERROR(C101)=TRUE,"",IF(C101=" ","",IF('CPV Input'!G103="","",IF(C101=0,"",IF(C101="","",'CPV Input'!G103)))))</f>
        <v>FLEX_SUBSIDY_LOCK_GSM_HPLMN_LIST_03</v>
      </c>
      <c r="C101" t="str">
        <f>'CPV Input'!L103</f>
        <v>0x47.0xF8,0x70</v>
      </c>
    </row>
    <row r="102" spans="2:3" ht="12.75">
      <c r="B102" t="str">
        <f>IF(ISERROR(C102)=TRUE,"",IF(C102=" ","",IF('CPV Input'!G104="","",IF(C102=0,"",IF(C102="","",'CPV Input'!G104)))))</f>
        <v>FLEX_SUBSIDY_LOCK_GSM_HPLMN_LIST_04</v>
      </c>
      <c r="C102" t="str">
        <f>'CPV Input'!L104</f>
        <v>0x47.0xF0,0x00</v>
      </c>
    </row>
    <row r="103" spans="2:3" ht="12.75">
      <c r="B103" t="str">
        <f>IF(ISERROR(C103)=TRUE,"",IF(C103=" ","",IF('CPV Input'!G105="","",IF(C103=0,"",IF(C103="","",'CPV Input'!G105)))))</f>
        <v>FLEX_SUBSIDY_LOCK_GSM_HPLMN_LIST_05</v>
      </c>
      <c r="C103" t="str">
        <f>'CPV Input'!L105</f>
        <v>0x07.0xF6,0x40</v>
      </c>
    </row>
    <row r="104" spans="2:3" ht="12.75">
      <c r="B104" t="str">
        <f>IF(ISERROR(C104)=TRUE,"",IF(C104=" ","",IF('CPV Input'!G106="","",IF(C104=0,"",IF(C104="","",'CPV Input'!G106)))))</f>
        <v>FLEX_SUBSIDY_LOCK_GSM_HPLMN_LIST_06</v>
      </c>
      <c r="C104" t="str">
        <f>'CPV Input'!L106</f>
        <v>0x27.0xF2,0x70</v>
      </c>
    </row>
    <row r="105" spans="2:3" ht="12.75">
      <c r="B105" t="str">
        <f>IF(ISERROR(C105)=TRUE,"",IF(C105=" ","",IF('CPV Input'!G107="","",IF(C105=0,"",IF(C105="","",'CPV Input'!G107)))))</f>
        <v>FLEX_SUBSIDY_LOCK_GSM_HPLMN_LIST_07</v>
      </c>
      <c r="C105" t="str">
        <f>'CPV Input'!L107</f>
        <v>0x37.0xF4,0x40</v>
      </c>
    </row>
    <row r="106" spans="2:3" ht="12.75">
      <c r="B106" t="str">
        <f>IF(ISERROR(C106)=TRUE,"",IF(C106=" ","",IF('CPV Input'!G108="","",IF(C106=0,"",IF(C106="","",'CPV Input'!G108)))))</f>
        <v>FLEX_SUBSIDY_LOCK_GSM_HPLMN_LIST_08</v>
      </c>
      <c r="C106" t="str">
        <f>'CPV Input'!L108</f>
        <v>0x17.0xF0,0x03</v>
      </c>
    </row>
    <row r="107" spans="2:3" ht="12.75">
      <c r="B107" t="str">
        <f>IF(ISERROR(C107)=TRUE,"",IF(C107=" ","",IF('CPV Input'!G109="","",IF(C107=0,"",IF(C107="","",'CPV Input'!G109)))))</f>
        <v>FLEX_SUBSIDY_LOCK_GSM_HPLMN_LIST_09</v>
      </c>
      <c r="C107" t="str">
        <f>'CPV Input'!L109</f>
        <v>0x17.0xF6,0x60</v>
      </c>
    </row>
    <row r="108" spans="2:3" ht="12.75">
      <c r="B108" t="str">
        <f>IF(ISERROR(C108)=TRUE,"",IF(C108=" ","",IF('CPV Input'!G110="","",IF(C108=0,"",IF(C108="","",'CPV Input'!G110)))))</f>
        <v>FLEX_SUBSIDY_LOCK_GSM_HPLMN_LIST_10</v>
      </c>
      <c r="C108" t="str">
        <f>'CPV Input'!L110</f>
        <v>0x12.0xF4,0x70</v>
      </c>
    </row>
    <row r="109" spans="2:3" ht="12.75">
      <c r="B109" t="str">
        <f>IF(ISERROR(C109)=TRUE,"",IF(C109=" ","",IF('CPV Input'!G111="","",IF(C109=0,"",IF(C109="","",'CPV Input'!G111)))))</f>
        <v>FLEX_SUBSIDY_LOCK_GSM_HPLMN_LIST_11</v>
      </c>
      <c r="C109" t="str">
        <f>'CPV Input'!L111</f>
        <v>0x17.0xF4,0x20</v>
      </c>
    </row>
    <row r="110" spans="2:3" ht="12.75">
      <c r="B110" t="str">
        <f>IF(ISERROR(C110)=TRUE,"",IF(C110=" ","",IF('CPV Input'!G112="","",IF(C110=0,"",IF(C110="","",'CPV Input'!G112)))))</f>
        <v>FLEX_SUBSIDY_LOCK_GSM_HPLMN_LIST_12</v>
      </c>
      <c r="C110" t="str">
        <f>'CPV Input'!L112</f>
        <v>0x33.0xF4,0x30</v>
      </c>
    </row>
    <row r="111" spans="2:3" ht="12.75">
      <c r="B111" t="str">
        <f>IF(ISERROR(C111)=TRUE,"",IF(C111=" ","",IF('CPV Input'!G113="","",IF(C111=0,"",IF(C111="","",'CPV Input'!G113)))))</f>
        <v>FLEX_SUBSIDY_LOCK_GSM_HPLMN_LIST_13</v>
      </c>
      <c r="C111" t="str">
        <f>'CPV Input'!L113</f>
        <v>0x37.0xF0,0x20</v>
      </c>
    </row>
    <row r="112" spans="2:3" ht="12.75">
      <c r="B112">
        <f>IF(ISERROR(C112)=TRUE,"",IF(C112=" ","",IF('CPV Input'!G121="","",IF(C112=0,"",IF(C112="","",'CPV Input'!G121)))))</f>
      </c>
      <c r="C112">
        <f>'CPV Input'!L121</f>
        <v>0</v>
      </c>
    </row>
    <row r="113" spans="2:3" ht="12.75">
      <c r="B113" t="str">
        <f>IF(ISERROR(C113)=TRUE,"",IF(C113=" ","",IF('CPV Input'!G122="","",IF(C113=0,"",IF(C113="","",'CPV Input'!G122)))))</f>
        <v>FLEX_GPRS_ATTACH_AT_POWER_UP</v>
      </c>
      <c r="C113" t="str">
        <f>'CPV Input'!L122</f>
        <v>0x03</v>
      </c>
    </row>
    <row r="114" spans="2:3" ht="12.75">
      <c r="B114" t="str">
        <f>IF(ISERROR(C114)=TRUE,"",IF(C114=" ","",IF('CPV Input'!G123="","",IF(C114=0,"",IF(C114="","",'CPV Input'!G123)))))</f>
        <v>DL_DB_FEATURE_ID_GPRS_STATUS_STRING</v>
      </c>
      <c r="C114" t="str">
        <f>'CPV Input'!L123</f>
        <v>GPRS</v>
      </c>
    </row>
    <row r="115" spans="2:3" ht="12.75">
      <c r="B115">
        <f>IF(ISERROR(C115)=TRUE,"",IF(C115=" ","",IF('CPV Input'!#REF!="","",IF(C115=0,"",IF(C115="","",'CPV Input'!#REF!)))))</f>
      </c>
      <c r="C115" t="e">
        <f>'CPV Input'!#REF!</f>
        <v>#REF!</v>
      </c>
    </row>
    <row r="116" spans="2:3" ht="12.75">
      <c r="B116" t="str">
        <f>IF(ISERROR(C116)=TRUE,"",IF(C116=" ","",IF('CPV Input'!G124="","",IF(C116=0,"",IF(C116="","",'CPV Input'!G124)))))</f>
        <v>DL_DB_FEATURE_ID_BROWSER_ADDITIONAL_CHARGE_PMPT_AVAILABLE</v>
      </c>
      <c r="C116" t="str">
        <f>'CPV Input'!L124</f>
        <v>0</v>
      </c>
    </row>
    <row r="117" spans="2:3" ht="12.75">
      <c r="B117" t="str">
        <f>IF(ISERROR(C117)=TRUE,"",IF(C117=" ","",IF('CPV Input'!G125="","",IF(C117=0,"",IF(C117="","",'CPV Input'!G125)))))</f>
        <v>DL_DB_FEATURE_ID_BROWSER_PLACE_CSD_DIALOG_AVAILABLE</v>
      </c>
      <c r="C117" t="str">
        <f>'CPV Input'!L125</f>
        <v>0</v>
      </c>
    </row>
    <row r="118" spans="2:3" ht="12.75">
      <c r="B118" t="str">
        <f>IF(ISERROR(C118)=TRUE,"",IF(C118=" ","",IF('CPV Input'!G126="","",IF(C118=0,"",IF(C118="","",'CPV Input'!G126)))))</f>
        <v>DL_DB_FEATURE_ID_BROWSER_SERVICE_STATE</v>
      </c>
      <c r="C118" t="str">
        <f>'CPV Input'!L126</f>
        <v>0x01</v>
      </c>
    </row>
    <row r="119" spans="2:3" ht="12.75">
      <c r="B119">
        <f>IF(ISERROR(C119)=TRUE,"",IF(C119=" ","",IF('CPV Input'!G127="","",IF(C119=0,"",IF(C119="","",'CPV Input'!G127)))))</f>
      </c>
      <c r="C119" t="e">
        <f>'CPV Input'!L127</f>
        <v>#NAME?</v>
      </c>
    </row>
    <row r="120" spans="2:3" ht="12.75">
      <c r="B120">
        <f>IF(ISERROR(C120)=TRUE,"",IF(C120=" ","",IF('CPV Input'!G128="","",IF(C120=0,"",IF(C120="","",'CPV Input'!G128)))))</f>
      </c>
      <c r="C120">
        <f>'CPV Input'!L128</f>
        <v>0</v>
      </c>
    </row>
    <row r="121" spans="2:3" ht="12.75">
      <c r="B121" t="str">
        <f>IF(ISERROR(C121)=TRUE,"",IF(C121=" ","",IF('CPV Input'!G129="","",IF(C121=0,"",IF(C121="","",'CPV Input'!G129)))))</f>
        <v>DL_DB_FEATURE_ID_GSM_1800_AVAILABLE</v>
      </c>
      <c r="C121" t="str">
        <f>'CPV Input'!L129</f>
        <v>1</v>
      </c>
    </row>
    <row r="122" spans="2:3" ht="12.75">
      <c r="B122" t="str">
        <f>IF(ISERROR(C122)=TRUE,"",IF(C122=" ","",IF('CPV Input'!G130="","",IF(C122=0,"",IF(C122="","",'CPV Input'!G130)))))</f>
        <v>DL_DB_FEATURE_ID_GSM_1900_AVAILABLE</v>
      </c>
      <c r="C122" t="str">
        <f>'CPV Input'!L130</f>
        <v>1</v>
      </c>
    </row>
    <row r="123" spans="2:3" ht="12.75">
      <c r="B123" t="str">
        <f>IF(ISERROR(C123)=TRUE,"",IF(C123=" ","",IF('CPV Input'!G131="","",IF(C123=0,"",IF(C123="","",'CPV Input'!G131)))))</f>
        <v>DL_DB_FEATURE_ID_GSM_850_AVAILABLE</v>
      </c>
      <c r="C123" t="str">
        <f>'CPV Input'!L131</f>
        <v>1</v>
      </c>
    </row>
    <row r="124" spans="2:3" ht="12.75">
      <c r="B124" t="str">
        <f>IF(ISERROR(C124)=TRUE,"",IF(C124=" ","",IF('CPV Input'!G132="","",IF(C124=0,"",IF(C124="","",'CPV Input'!G132)))))</f>
        <v>DL_DB_FEATURE_ID_GSM_900_AVAILABLE</v>
      </c>
      <c r="C124" t="str">
        <f>'CPV Input'!L132</f>
        <v>0</v>
      </c>
    </row>
    <row r="125" spans="2:3" ht="12.75">
      <c r="B125" t="str">
        <f>IF(ISERROR(C125)=TRUE,"",IF(C125=" ","",IF('CPV Input'!G133="","",IF(C125=0,"",IF(C125="","",'CPV Input'!G133)))))</f>
        <v>DL_DB_FEATURE_ID_BAND_CAPABILITY</v>
      </c>
      <c r="C125" t="str">
        <f>'CPV Input'!L133</f>
        <v>0x0C</v>
      </c>
    </row>
    <row r="126" spans="2:3" ht="12.75">
      <c r="B126" t="str">
        <f>IF(ISERROR(C126)=TRUE,"",IF(C126=" ","",IF('CPV Input'!G134="","",IF(C126=0,"",IF(C126="","",'CPV Input'!G134)))))</f>
        <v>DFT_DL_DB_FEATURE_ID_LAST_BAND_SELECTED </v>
      </c>
      <c r="C126" t="str">
        <f>'CPV Input'!L134</f>
        <v>0x04</v>
      </c>
    </row>
    <row r="127" spans="2:3" ht="12.75">
      <c r="B127" t="str">
        <f>IF(ISERROR(C127)=TRUE,"",IF(C127=" ","",IF('CPV Input'!G135="","",IF(C127=0,"",IF(C127="","",'CPV Input'!G135)))))</f>
        <v>DL_DB_FEATURE_ID_NETWORK_SETUP_GSM_REGION</v>
      </c>
      <c r="C127" t="str">
        <f>'CPV Input'!L135</f>
        <v>0x00</v>
      </c>
    </row>
    <row r="128" spans="2:3" ht="12.75">
      <c r="B128" t="str">
        <f>IF(ISERROR(C128)=TRUE,"",IF(C128=" ","",IF('CPV Input'!G136="","",IF(C128=0,"",IF(C128="","",'CPV Input'!G136)))))</f>
        <v>DL_DB_FEATURE_ID_NETWORK_SETUP_GSM_REGION_AUTOMATIC_AVAILABLE</v>
      </c>
      <c r="C128" t="str">
        <f>'CPV Input'!L136</f>
        <v>1</v>
      </c>
    </row>
    <row r="129" spans="2:3" ht="12.75">
      <c r="B129" t="str">
        <f>IF(ISERROR(C129)=TRUE,"",IF(C129=" ","",IF('CPV Input'!G137="","",IF(C129=0,"",IF(C129="","",'CPV Input'!G137)))))</f>
        <v>DL_DB_FEATURE_ID_NETWORK_SETUP_GSM_REGION_AVAILABLE</v>
      </c>
      <c r="C129" t="str">
        <f>'CPV Input'!L137</f>
        <v>1</v>
      </c>
    </row>
    <row r="130" spans="2:3" ht="12.75">
      <c r="B130" t="str">
        <f>IF(ISERROR(C130)=TRUE,"",IF(C130=" ","",IF('CPV Input'!G138="","",IF(C130=0,"",IF(C130="","",'CPV Input'!G138)))))</f>
        <v>DL_DB_FEATURE_ID_TECHNOLOGY</v>
      </c>
      <c r="C130" t="str">
        <f>'CPV Input'!L138</f>
        <v>GSM 850/1800-1900</v>
      </c>
    </row>
  </sheetData>
  <printOptions/>
  <pageMargins left="0.75" right="0.75" top="1" bottom="1" header="0.5" footer="0.5"/>
  <pageSetup orientation="portrait" r:id="rId2"/>
  <legacyDrawing r:id="rId1"/>
</worksheet>
</file>

<file path=xl/worksheets/sheet11.xml><?xml version="1.0" encoding="utf-8"?>
<worksheet xmlns="http://schemas.openxmlformats.org/spreadsheetml/2006/main" xmlns:r="http://schemas.openxmlformats.org/officeDocument/2006/relationships">
  <sheetPr codeName="Sheet13"/>
  <dimension ref="A1:IV529"/>
  <sheetViews>
    <sheetView zoomScale="70" zoomScaleNormal="70" zoomScaleSheetLayoutView="100" workbookViewId="0" topLeftCell="A1">
      <selection activeCell="A1" sqref="A1"/>
    </sheetView>
  </sheetViews>
  <sheetFormatPr defaultColWidth="9.140625" defaultRowHeight="12.75"/>
  <cols>
    <col min="1" max="1" width="42.421875" style="107" customWidth="1"/>
    <col min="2" max="2" width="37.8515625" style="109" bestFit="1" customWidth="1"/>
    <col min="3" max="3" width="15.8515625" style="104" bestFit="1" customWidth="1"/>
    <col min="4" max="4" width="25.00390625" style="105" bestFit="1" customWidth="1"/>
    <col min="5" max="5" width="36.28125" style="104" bestFit="1" customWidth="1"/>
    <col min="6" max="6" width="96.8515625" style="106" bestFit="1" customWidth="1"/>
    <col min="7" max="7" width="77.140625" style="107" bestFit="1" customWidth="1"/>
    <col min="8" max="8" width="13.00390625" style="107" bestFit="1" customWidth="1"/>
    <col min="9" max="11" width="10.28125" style="107" hidden="1" customWidth="1"/>
    <col min="12" max="12" width="19.8515625" style="107" hidden="1" customWidth="1"/>
    <col min="13" max="24" width="10.28125" style="107" customWidth="1"/>
    <col min="25" max="25" width="10.7109375" style="107" customWidth="1"/>
    <col min="26" max="26" width="10.28125" style="107" customWidth="1"/>
    <col min="27" max="27" width="11.7109375" style="107" customWidth="1"/>
    <col min="28" max="28" width="10.28125" style="107" customWidth="1"/>
    <col min="29" max="29" width="27.57421875" style="107" customWidth="1"/>
    <col min="30" max="16384" width="10.28125" style="107" customWidth="1"/>
  </cols>
  <sheetData>
    <row r="1" spans="1:12" s="103" customFormat="1" ht="20.25" customHeight="1">
      <c r="A1" s="100" t="s">
        <v>575</v>
      </c>
      <c r="B1" s="100" t="s">
        <v>576</v>
      </c>
      <c r="C1" s="100" t="s">
        <v>577</v>
      </c>
      <c r="D1" s="101" t="s">
        <v>578</v>
      </c>
      <c r="E1" s="100" t="s">
        <v>579</v>
      </c>
      <c r="F1" s="102" t="s">
        <v>580</v>
      </c>
      <c r="G1" s="100" t="s">
        <v>581</v>
      </c>
      <c r="H1" s="100" t="s">
        <v>582</v>
      </c>
      <c r="L1" s="103" t="s">
        <v>293</v>
      </c>
    </row>
    <row r="2" spans="1:8" s="121" customFormat="1" ht="20.25" customHeight="1">
      <c r="A2" s="145" t="s">
        <v>587</v>
      </c>
      <c r="B2" s="136" t="s">
        <v>1119</v>
      </c>
      <c r="C2" s="200"/>
      <c r="D2" s="201"/>
      <c r="E2" s="200"/>
      <c r="F2" s="202"/>
      <c r="G2" s="200"/>
      <c r="H2" s="203"/>
    </row>
    <row r="3" spans="1:8" ht="15.75">
      <c r="A3" s="118" t="s">
        <v>583</v>
      </c>
      <c r="B3" s="140" t="s">
        <v>584</v>
      </c>
      <c r="C3" s="131"/>
      <c r="D3" s="133"/>
      <c r="E3" s="131"/>
      <c r="F3" s="130"/>
      <c r="G3" s="134"/>
      <c r="H3" s="141"/>
    </row>
    <row r="4" spans="1:8" ht="15.75">
      <c r="A4" s="118" t="s">
        <v>585</v>
      </c>
      <c r="B4" s="140" t="s">
        <v>1335</v>
      </c>
      <c r="C4" s="131"/>
      <c r="D4" s="133"/>
      <c r="E4" s="131"/>
      <c r="F4" s="130"/>
      <c r="G4" s="134"/>
      <c r="H4" s="141"/>
    </row>
    <row r="5" spans="1:8" ht="15.75">
      <c r="A5" s="118" t="s">
        <v>586</v>
      </c>
      <c r="B5" s="140" t="s">
        <v>687</v>
      </c>
      <c r="C5" s="131"/>
      <c r="D5" s="133"/>
      <c r="E5" s="131"/>
      <c r="F5" s="130"/>
      <c r="G5" s="134"/>
      <c r="H5" s="141"/>
    </row>
    <row r="6" spans="1:8" s="108" customFormat="1" ht="15.75">
      <c r="A6" s="145" t="s">
        <v>587</v>
      </c>
      <c r="B6" s="136" t="s">
        <v>26</v>
      </c>
      <c r="C6" s="200"/>
      <c r="D6" s="201"/>
      <c r="E6" s="200"/>
      <c r="F6" s="202"/>
      <c r="G6" s="200"/>
      <c r="H6" s="203"/>
    </row>
    <row r="7" spans="1:8" s="108" customFormat="1" ht="15.75">
      <c r="A7" s="143" t="s">
        <v>307</v>
      </c>
      <c r="B7" s="143" t="str">
        <f>'01_Initial Setup'!C8</f>
        <v>R3443H1_G_0A.65.0BR</v>
      </c>
      <c r="C7" s="125" t="s">
        <v>588</v>
      </c>
      <c r="D7" s="126" t="s">
        <v>589</v>
      </c>
      <c r="E7" s="127" t="s">
        <v>596</v>
      </c>
      <c r="F7" s="127" t="s">
        <v>597</v>
      </c>
      <c r="G7" s="128"/>
      <c r="H7" s="142"/>
    </row>
    <row r="8" spans="1:8" s="108" customFormat="1" ht="15.75">
      <c r="A8" s="143" t="s">
        <v>308</v>
      </c>
      <c r="B8" s="143" t="str">
        <f>'01_Initial Setup'!C9</f>
        <v>0003</v>
      </c>
      <c r="C8" s="128" t="s">
        <v>588</v>
      </c>
      <c r="D8" s="126" t="s">
        <v>603</v>
      </c>
      <c r="E8" s="128" t="s">
        <v>604</v>
      </c>
      <c r="F8" s="129" t="s">
        <v>605</v>
      </c>
      <c r="G8" s="128"/>
      <c r="H8" s="142"/>
    </row>
    <row r="9" spans="1:8" s="108" customFormat="1" ht="15.75">
      <c r="A9" s="143" t="s">
        <v>598</v>
      </c>
      <c r="B9" s="143" t="str">
        <f>'01_Initial Setup'!C11</f>
        <v>GSVL6iMSTVZLA077</v>
      </c>
      <c r="C9" s="125" t="s">
        <v>600</v>
      </c>
      <c r="D9" s="126" t="s">
        <v>601</v>
      </c>
      <c r="E9" s="127" t="s">
        <v>596</v>
      </c>
      <c r="F9" s="127" t="s">
        <v>602</v>
      </c>
      <c r="G9" s="128"/>
      <c r="H9" s="142"/>
    </row>
    <row r="10" spans="1:8" s="108" customFormat="1" ht="15.75">
      <c r="A10" s="129" t="s">
        <v>1494</v>
      </c>
      <c r="B10" s="150" t="str">
        <f>IF('01_Initial Setup'!C12="Quad-Band (EURO Band)","Quad-Band GSM",IF('01_Initial Setup'!C12="Quad-Band (US Band)","Quad-Band GSM",IF('01_Initial Setup'!C12="Tri-Band (900/1800/1900)","Tri-Band GSM",IF('01_Initial Setup'!C12="Tri-Band (850/1800/1900)","Tri-Band GSM",'01_Initial Setup'!C12))))</f>
        <v>GSM 850/1800-1900</v>
      </c>
      <c r="C10" s="125" t="s">
        <v>600</v>
      </c>
      <c r="D10" s="126" t="s">
        <v>797</v>
      </c>
      <c r="E10" s="127" t="s">
        <v>596</v>
      </c>
      <c r="F10" s="127" t="s">
        <v>798</v>
      </c>
      <c r="G10" s="128"/>
      <c r="H10" s="142"/>
    </row>
    <row r="11" spans="1:8" ht="15.75">
      <c r="A11" s="141" t="s">
        <v>609</v>
      </c>
      <c r="B11" s="143" t="str">
        <f>'01_Initial Setup'!C13</f>
        <v>r3.443.h1_l6refresh_pds_001</v>
      </c>
      <c r="C11" s="125" t="s">
        <v>600</v>
      </c>
      <c r="D11" s="126" t="s">
        <v>612</v>
      </c>
      <c r="E11" s="127" t="s">
        <v>596</v>
      </c>
      <c r="F11" s="127" t="s">
        <v>613</v>
      </c>
      <c r="G11" s="134"/>
      <c r="H11" s="141"/>
    </row>
    <row r="12" spans="1:8" ht="15.75">
      <c r="A12" s="141" t="s">
        <v>614</v>
      </c>
      <c r="B12" s="143" t="str">
        <f>'01_Initial Setup'!C14</f>
        <v>r3443h1_g_0a.65.0br_drm0201</v>
      </c>
      <c r="C12" s="128" t="s">
        <v>588</v>
      </c>
      <c r="D12" s="126" t="s">
        <v>94</v>
      </c>
      <c r="E12" s="127" t="s">
        <v>596</v>
      </c>
      <c r="F12" s="127" t="s">
        <v>95</v>
      </c>
      <c r="G12" s="134"/>
      <c r="H12" s="141"/>
    </row>
    <row r="13" spans="1:8" ht="16.5">
      <c r="A13" s="141" t="s">
        <v>1495</v>
      </c>
      <c r="B13" s="150" t="str">
        <f>IF('01_Initial Setup'!C15="","Not Supported",IF('01_Initial Setup'!C15="NA","Not Supported",'01_Initial Setup'!C15))</f>
        <v>Not Supported</v>
      </c>
      <c r="C13" s="128"/>
      <c r="D13" s="126"/>
      <c r="E13" s="177" t="s">
        <v>1203</v>
      </c>
      <c r="F13" s="127"/>
      <c r="G13" s="134"/>
      <c r="H13" s="141"/>
    </row>
    <row r="14" spans="1:8" s="108" customFormat="1" ht="15.75">
      <c r="A14" s="145" t="s">
        <v>587</v>
      </c>
      <c r="B14" s="145" t="s">
        <v>27</v>
      </c>
      <c r="C14" s="200"/>
      <c r="D14" s="201"/>
      <c r="E14" s="200" t="s">
        <v>1571</v>
      </c>
      <c r="F14" s="202"/>
      <c r="G14" s="200"/>
      <c r="H14" s="203"/>
    </row>
    <row r="15" spans="1:8" s="108" customFormat="1" ht="15.75">
      <c r="A15" s="143" t="s">
        <v>606</v>
      </c>
      <c r="B15" s="143" t="str">
        <f>'01_Initial Setup'!C10</f>
        <v>JAVA_G_0A_L6_01_01_13R</v>
      </c>
      <c r="C15" s="125"/>
      <c r="D15" s="126"/>
      <c r="E15" s="127" t="s">
        <v>607</v>
      </c>
      <c r="F15" s="127" t="s">
        <v>608</v>
      </c>
      <c r="G15" s="128"/>
      <c r="H15" s="142"/>
    </row>
    <row r="16" spans="1:8" s="110" customFormat="1" ht="15.75">
      <c r="A16" s="144" t="s">
        <v>587</v>
      </c>
      <c r="B16" s="145" t="s">
        <v>28</v>
      </c>
      <c r="C16" s="146"/>
      <c r="D16" s="147"/>
      <c r="E16" s="146"/>
      <c r="F16" s="148"/>
      <c r="G16" s="144"/>
      <c r="H16" s="144"/>
    </row>
    <row r="17" spans="1:12" ht="15.75">
      <c r="A17" s="141" t="s">
        <v>616</v>
      </c>
      <c r="B17" s="150" t="str">
        <f>'01_Initial Setup'!G21</f>
        <v>Spanish</v>
      </c>
      <c r="C17" s="151" t="s">
        <v>600</v>
      </c>
      <c r="D17" s="132" t="s">
        <v>128</v>
      </c>
      <c r="E17" s="131" t="s">
        <v>1073</v>
      </c>
      <c r="F17" s="130" t="str">
        <f>IF('01_Initial Setup'!C9="0039",J17,I17)</f>
        <v>0000002A=Portuguese|0000000E=Spanish|00000001=English</v>
      </c>
      <c r="G17" s="134" t="s">
        <v>227</v>
      </c>
      <c r="H17" s="141" t="s">
        <v>228</v>
      </c>
      <c r="I17" s="107" t="s">
        <v>129</v>
      </c>
      <c r="J17" s="107" t="s">
        <v>130</v>
      </c>
      <c r="L17" s="107" t="str">
        <f>CONCATENATE("0x",MID(F17,FIND(B17,F17)-9,8))</f>
        <v>0x0000000E</v>
      </c>
    </row>
    <row r="18" spans="1:12" ht="15.75">
      <c r="A18" s="134" t="s">
        <v>324</v>
      </c>
      <c r="B18" s="150" t="str">
        <f>'01_Initial Setup'!G22</f>
        <v>12h</v>
      </c>
      <c r="C18" s="151" t="s">
        <v>600</v>
      </c>
      <c r="D18" s="132" t="s">
        <v>229</v>
      </c>
      <c r="E18" s="131" t="s">
        <v>1073</v>
      </c>
      <c r="F18" s="130" t="s">
        <v>848</v>
      </c>
      <c r="G18" s="170" t="s">
        <v>675</v>
      </c>
      <c r="H18" s="141"/>
      <c r="L18" s="107" t="str">
        <f>IF(B18="24h","0x01",IF(B18="12h","0x00","null"))</f>
        <v>0x00</v>
      </c>
    </row>
    <row r="19" spans="1:12" ht="15.75">
      <c r="A19" s="134" t="s">
        <v>230</v>
      </c>
      <c r="B19" s="150" t="str">
        <f>'01_Initial Setup'!G23</f>
        <v>dd-mmm-yy</v>
      </c>
      <c r="C19" s="151" t="s">
        <v>600</v>
      </c>
      <c r="D19" s="132" t="s">
        <v>231</v>
      </c>
      <c r="E19" s="131" t="s">
        <v>1073</v>
      </c>
      <c r="F19" s="130" t="s">
        <v>849</v>
      </c>
      <c r="G19" s="170" t="s">
        <v>676</v>
      </c>
      <c r="H19" s="141"/>
      <c r="L19" s="107" t="str">
        <f>IF(B19="dd-mm-yy","0x01",IF(B19="mm-dd-yy","0x00",IF(B19="dd-mmm-yy","0x02","null")))</f>
        <v>0x02</v>
      </c>
    </row>
    <row r="20" spans="1:12" ht="15.75">
      <c r="A20" s="129" t="s">
        <v>326</v>
      </c>
      <c r="B20" s="150" t="str">
        <f>'01_Initial Setup'!G24</f>
        <v>Long</v>
      </c>
      <c r="C20" s="151" t="s">
        <v>600</v>
      </c>
      <c r="D20" s="132" t="s">
        <v>232</v>
      </c>
      <c r="E20" s="131" t="s">
        <v>1073</v>
      </c>
      <c r="F20" s="130" t="s">
        <v>1324</v>
      </c>
      <c r="G20" s="170" t="s">
        <v>677</v>
      </c>
      <c r="H20" s="141"/>
      <c r="L20" s="107" t="str">
        <f>IF(B20="Short","0x01",IF(B20="Off","0x00",IF(B20="Long","0x02","null")))</f>
        <v>0x02</v>
      </c>
    </row>
    <row r="21" spans="1:12" ht="15.75">
      <c r="A21" s="129" t="s">
        <v>330</v>
      </c>
      <c r="B21" s="150" t="str">
        <f>'01_Initial Setup'!G25</f>
        <v>Off</v>
      </c>
      <c r="C21" s="151" t="s">
        <v>600</v>
      </c>
      <c r="D21" s="132" t="s">
        <v>234</v>
      </c>
      <c r="E21" s="131" t="s">
        <v>1073</v>
      </c>
      <c r="F21" s="130" t="s">
        <v>233</v>
      </c>
      <c r="G21" s="170" t="s">
        <v>678</v>
      </c>
      <c r="H21" s="141"/>
      <c r="L21" s="107" t="str">
        <f>IF(B21="On","0x01",IF(B21="Off","0x00","null"))</f>
        <v>0x00</v>
      </c>
    </row>
    <row r="22" spans="1:12" ht="15.75">
      <c r="A22" s="129" t="s">
        <v>331</v>
      </c>
      <c r="B22" s="150" t="str">
        <f>'01_Initial Setup'!G26</f>
        <v>On</v>
      </c>
      <c r="C22" s="151" t="s">
        <v>600</v>
      </c>
      <c r="D22" s="132" t="s">
        <v>235</v>
      </c>
      <c r="E22" s="131" t="s">
        <v>236</v>
      </c>
      <c r="F22" s="130" t="s">
        <v>1574</v>
      </c>
      <c r="G22" s="170" t="s">
        <v>679</v>
      </c>
      <c r="H22" s="141"/>
      <c r="L22" s="107" t="str">
        <f>IF(B22="On","1",IF(B22="Off","0","null"))</f>
        <v>1</v>
      </c>
    </row>
    <row r="23" spans="1:12" ht="15.75">
      <c r="A23" s="129" t="s">
        <v>332</v>
      </c>
      <c r="B23" s="150" t="str">
        <f>'01_Initial Setup'!G27</f>
        <v>On</v>
      </c>
      <c r="C23" s="151" t="s">
        <v>600</v>
      </c>
      <c r="D23" s="132" t="s">
        <v>237</v>
      </c>
      <c r="E23" s="131" t="s">
        <v>1073</v>
      </c>
      <c r="F23" s="130" t="s">
        <v>833</v>
      </c>
      <c r="G23" s="170" t="s">
        <v>680</v>
      </c>
      <c r="H23" s="141"/>
      <c r="L23" s="107" t="str">
        <f>IF(B23="On","0x00",IF(B23="Off","0x01","null"))</f>
        <v>0x00</v>
      </c>
    </row>
    <row r="24" spans="1:12" ht="15.75">
      <c r="A24" s="129" t="s">
        <v>333</v>
      </c>
      <c r="B24" s="150" t="str">
        <f>'01_Initial Setup'!G28</f>
        <v>Off</v>
      </c>
      <c r="C24" s="151" t="s">
        <v>600</v>
      </c>
      <c r="D24" s="132" t="s">
        <v>235</v>
      </c>
      <c r="E24" s="131" t="s">
        <v>236</v>
      </c>
      <c r="F24" s="130" t="s">
        <v>832</v>
      </c>
      <c r="G24" s="170" t="s">
        <v>681</v>
      </c>
      <c r="H24" s="141"/>
      <c r="L24" s="107" t="str">
        <f>IF(B24="On","1",IF(B24="Off","0","null"))</f>
        <v>0</v>
      </c>
    </row>
    <row r="25" spans="1:12" ht="15.75">
      <c r="A25" s="129" t="s">
        <v>334</v>
      </c>
      <c r="B25" s="150">
        <f>IF('01_Initial Setup'!G29=""," ",IF('01_Initial Setup'!G29="none"," ",IF('01_Initial Setup'!G29="no default value"," ",IF('01_Initial Setup'!G29="no default values"," ",'01_Initial Setup'!G29))))</f>
        <v>911</v>
      </c>
      <c r="C25" s="151" t="s">
        <v>600</v>
      </c>
      <c r="D25" s="132" t="s">
        <v>238</v>
      </c>
      <c r="E25" s="131" t="s">
        <v>596</v>
      </c>
      <c r="F25" s="130" t="s">
        <v>239</v>
      </c>
      <c r="G25" s="171" t="s">
        <v>760</v>
      </c>
      <c r="H25" s="141"/>
      <c r="L25" s="107">
        <f>B25</f>
        <v>911</v>
      </c>
    </row>
    <row r="26" spans="1:12" ht="15.75">
      <c r="A26" s="129" t="s">
        <v>696</v>
      </c>
      <c r="B26" s="150" t="str">
        <f>IF('01_Initial Setup'!G30=""," ",IF('01_Initial Setup'!G30="none"," ",IF('01_Initial Setup'!G30="no default value"," ",IF('01_Initial Setup'!G30="no default values"," ",'01_Initial Setup'!G30))))</f>
        <v>*2</v>
      </c>
      <c r="C26" s="151" t="s">
        <v>600</v>
      </c>
      <c r="D26" s="132" t="s">
        <v>240</v>
      </c>
      <c r="E26" s="131" t="s">
        <v>596</v>
      </c>
      <c r="F26" s="130" t="s">
        <v>239</v>
      </c>
      <c r="G26" s="171" t="s">
        <v>682</v>
      </c>
      <c r="H26" s="141"/>
      <c r="L26" s="107" t="str">
        <f>B26</f>
        <v>*2</v>
      </c>
    </row>
    <row r="27" spans="1:8" ht="15.75">
      <c r="A27" s="135" t="s">
        <v>587</v>
      </c>
      <c r="B27" s="136" t="s">
        <v>29</v>
      </c>
      <c r="C27" s="153"/>
      <c r="D27" s="154"/>
      <c r="E27" s="154"/>
      <c r="F27" s="156"/>
      <c r="G27" s="155"/>
      <c r="H27" s="155"/>
    </row>
    <row r="28" spans="1:8" ht="15.75">
      <c r="A28" s="91" t="s">
        <v>799</v>
      </c>
      <c r="B28" s="129" t="s">
        <v>599</v>
      </c>
      <c r="C28" s="151" t="s">
        <v>600</v>
      </c>
      <c r="D28" s="132" t="s">
        <v>229</v>
      </c>
      <c r="E28" s="131" t="s">
        <v>1073</v>
      </c>
      <c r="F28" s="130" t="s">
        <v>493</v>
      </c>
      <c r="G28" t="s">
        <v>1209</v>
      </c>
      <c r="H28" s="141"/>
    </row>
    <row r="29" spans="1:8" ht="15.75">
      <c r="A29" s="90" t="s">
        <v>800</v>
      </c>
      <c r="B29" s="129" t="s">
        <v>599</v>
      </c>
      <c r="C29" s="151" t="s">
        <v>600</v>
      </c>
      <c r="D29" s="132" t="s">
        <v>229</v>
      </c>
      <c r="E29" s="131" t="s">
        <v>1073</v>
      </c>
      <c r="F29" s="130" t="s">
        <v>493</v>
      </c>
      <c r="G29" t="s">
        <v>1210</v>
      </c>
      <c r="H29" s="141"/>
    </row>
    <row r="30" spans="1:8" ht="15.75">
      <c r="A30" s="90" t="s">
        <v>801</v>
      </c>
      <c r="B30" s="129" t="s">
        <v>599</v>
      </c>
      <c r="C30" s="151" t="s">
        <v>600</v>
      </c>
      <c r="D30" s="132" t="s">
        <v>229</v>
      </c>
      <c r="E30" s="131" t="s">
        <v>1073</v>
      </c>
      <c r="F30" s="130" t="s">
        <v>493</v>
      </c>
      <c r="G30" s="130" t="s">
        <v>1211</v>
      </c>
      <c r="H30" s="141"/>
    </row>
    <row r="31" spans="1:8" ht="15.75">
      <c r="A31" s="91" t="s">
        <v>802</v>
      </c>
      <c r="B31" s="129" t="s">
        <v>599</v>
      </c>
      <c r="C31" s="151" t="s">
        <v>600</v>
      </c>
      <c r="D31" s="132" t="s">
        <v>229</v>
      </c>
      <c r="E31" s="131" t="s">
        <v>1073</v>
      </c>
      <c r="F31" s="130" t="s">
        <v>493</v>
      </c>
      <c r="G31" t="s">
        <v>1212</v>
      </c>
      <c r="H31" s="141"/>
    </row>
    <row r="32" spans="1:8" ht="15.75">
      <c r="A32" s="91" t="s">
        <v>1484</v>
      </c>
      <c r="B32" s="129" t="s">
        <v>599</v>
      </c>
      <c r="C32" s="151" t="s">
        <v>600</v>
      </c>
      <c r="D32" s="132" t="s">
        <v>229</v>
      </c>
      <c r="E32" s="131" t="s">
        <v>1073</v>
      </c>
      <c r="F32" s="130" t="s">
        <v>493</v>
      </c>
      <c r="G32" s="134"/>
      <c r="H32" s="141"/>
    </row>
    <row r="33" spans="1:8" ht="15.75">
      <c r="A33" s="135" t="s">
        <v>587</v>
      </c>
      <c r="B33" s="136" t="s">
        <v>30</v>
      </c>
      <c r="C33" s="153"/>
      <c r="D33" s="154"/>
      <c r="E33" s="158" t="s">
        <v>1570</v>
      </c>
      <c r="F33" s="159"/>
      <c r="G33" s="155"/>
      <c r="H33" s="155"/>
    </row>
    <row r="34" spans="1:8" ht="15.75">
      <c r="A34" s="160" t="s">
        <v>327</v>
      </c>
      <c r="B34" s="150" t="str">
        <f>IF('02_Media_Personalization '!F11="RingStyle","MMRingStyle",IF('02_Media_Personalization '!F11="Multimedia","Mutilmedia",'02_Media_Personalization '!F11))</f>
        <v>Message</v>
      </c>
      <c r="C34" s="90"/>
      <c r="D34" s="132"/>
      <c r="E34" s="131" t="s">
        <v>607</v>
      </c>
      <c r="F34" s="130" t="s">
        <v>241</v>
      </c>
      <c r="G34" s="134"/>
      <c r="H34" s="141"/>
    </row>
    <row r="35" spans="1:8" ht="15.75">
      <c r="A35" s="160" t="s">
        <v>328</v>
      </c>
      <c r="B35" s="150" t="str">
        <f>IF('02_Media_Personalization '!F12="RingStyle","MMRingStyle",IF('02_Media_Personalization '!F12="Multimedia","Mutilmedia",'02_Media_Personalization '!F12))</f>
        <v>Browser</v>
      </c>
      <c r="C35" s="90"/>
      <c r="D35" s="132"/>
      <c r="E35" s="131" t="s">
        <v>607</v>
      </c>
      <c r="F35" s="130" t="s">
        <v>242</v>
      </c>
      <c r="G35" s="134"/>
      <c r="H35" s="141"/>
    </row>
    <row r="36" spans="1:8" ht="15.75">
      <c r="A36" s="160" t="s">
        <v>329</v>
      </c>
      <c r="B36" s="150" t="str">
        <f>IF('02_Media_Personalization '!F13="RingStyle","MMRingStyle",IF('02_Media_Personalization '!F13="Multimedia","Mutilmedia",'02_Media_Personalization '!F13))</f>
        <v>VoiceDial</v>
      </c>
      <c r="C36" s="90"/>
      <c r="D36" s="133"/>
      <c r="E36" s="131" t="s">
        <v>607</v>
      </c>
      <c r="F36" s="130" t="s">
        <v>243</v>
      </c>
      <c r="G36" s="134"/>
      <c r="H36" s="141"/>
    </row>
    <row r="37" spans="1:12" ht="15.75">
      <c r="A37" s="160" t="s">
        <v>244</v>
      </c>
      <c r="B37" s="150" t="str">
        <f>IF('02_Media_Personalization '!F14="RingStyle","MMRingStyle",'02_Media_Personalization '!F14)</f>
        <v>Digital</v>
      </c>
      <c r="C37" s="151" t="s">
        <v>600</v>
      </c>
      <c r="D37" s="132" t="s">
        <v>245</v>
      </c>
      <c r="E37" s="131" t="s">
        <v>1073</v>
      </c>
      <c r="F37" s="130" t="s">
        <v>850</v>
      </c>
      <c r="G37" s="172" t="s">
        <v>761</v>
      </c>
      <c r="H37" s="141"/>
      <c r="L37" s="107" t="str">
        <f>IF(B37="Digital","0x00",IF(B37="Analog","0x01","null"))</f>
        <v>0x00</v>
      </c>
    </row>
    <row r="38" spans="1:12" ht="15.75">
      <c r="A38" s="160" t="s">
        <v>946</v>
      </c>
      <c r="B38" s="150" t="str">
        <f>IF('02_Media_Personalization '!F15="RingStyle","MMRingStyle",'02_Media_Personalization '!F15)</f>
        <v>Loud</v>
      </c>
      <c r="C38" s="91" t="s">
        <v>600</v>
      </c>
      <c r="D38" s="132" t="s">
        <v>666</v>
      </c>
      <c r="E38" s="131" t="s">
        <v>1073</v>
      </c>
      <c r="F38" s="130" t="s">
        <v>803</v>
      </c>
      <c r="G38" s="173" t="s">
        <v>762</v>
      </c>
      <c r="H38" s="141"/>
      <c r="L38" s="107" t="str">
        <f>CONCATENATE("0x",MID(F38,FIND(B38,F38)-3,2))</f>
        <v>0x00</v>
      </c>
    </row>
    <row r="39" spans="1:8" ht="15.75">
      <c r="A39" s="160" t="s">
        <v>1580</v>
      </c>
      <c r="B39" s="150" t="s">
        <v>599</v>
      </c>
      <c r="C39" s="151" t="s">
        <v>600</v>
      </c>
      <c r="D39" s="132" t="s">
        <v>229</v>
      </c>
      <c r="E39" s="131" t="s">
        <v>1073</v>
      </c>
      <c r="F39" s="130" t="s">
        <v>493</v>
      </c>
      <c r="G39" s="173"/>
      <c r="H39" s="141"/>
    </row>
    <row r="40" spans="1:8" ht="15.75">
      <c r="A40" s="135" t="s">
        <v>587</v>
      </c>
      <c r="B40" s="136" t="s">
        <v>1379</v>
      </c>
      <c r="C40" s="153"/>
      <c r="D40" s="154"/>
      <c r="E40" s="154"/>
      <c r="F40" s="159"/>
      <c r="G40" s="155"/>
      <c r="H40" s="155"/>
    </row>
    <row r="41" spans="1:8" ht="15.75">
      <c r="A41" s="160" t="s">
        <v>1380</v>
      </c>
      <c r="B41" s="224" t="str">
        <f>IF('02_Media_Personalization '!E19="","&lt;MANUAL&gt;",'02_Media_Personalization '!E19)</f>
        <v>&lt;MANUAL&gt;</v>
      </c>
      <c r="C41" s="198" t="str">
        <f>IF(B41="&lt;MANUAL&gt;","RDELEM","FSAC")</f>
        <v>RDELEM</v>
      </c>
      <c r="D41" s="225" t="str">
        <f>IF(B41="&lt;MANUAL&gt;","004A000100010001","/a/DL_DB_INET_RECORDS")</f>
        <v>004A000100010001</v>
      </c>
      <c r="E41" s="131" t="str">
        <f>IF(B41="&lt;MANUAL&gt;","SelectCase","Hex2ASCII")</f>
        <v>SelectCase</v>
      </c>
      <c r="F41" s="113" t="str">
        <f>IF(B41="&lt;MANUAL&gt;","00= |01= ",CONCATENATE("BytesPerData=2|ByteSwap=FALSE|StartByte=",H41))</f>
        <v>00= |01= </v>
      </c>
      <c r="G41" s="141"/>
      <c r="H41" s="141">
        <v>4</v>
      </c>
    </row>
    <row r="42" spans="1:8" ht="15.75">
      <c r="A42" s="160" t="s">
        <v>1381</v>
      </c>
      <c r="B42" s="224" t="str">
        <f>IF('02_Media_Personalization '!J19="","&lt;MANUAL&gt;",'02_Media_Personalization '!J19)</f>
        <v>&lt;MANUAL&gt;</v>
      </c>
      <c r="C42" s="198" t="str">
        <f aca="true" t="shared" si="0" ref="C42:C70">IF(B42="&lt;MANUAL&gt;","RDELEM","FSAC")</f>
        <v>RDELEM</v>
      </c>
      <c r="D42" s="225" t="str">
        <f aca="true" t="shared" si="1" ref="D42:D70">IF(B42="&lt;MANUAL&gt;","004A000100010001","/a/DL_DB_INET_RECORDS")</f>
        <v>004A000100010001</v>
      </c>
      <c r="E42" s="131" t="str">
        <f>IF(B42="&lt;MANUAL&gt;","SelectCase","Hex2ASCII")</f>
        <v>SelectCase</v>
      </c>
      <c r="F42" s="113" t="str">
        <f>IF(B42="&lt;MANUAL&gt;","00= |01= ",CONCATENATE("BytesPerData=1|ByteSwap=TRUE|StartByte=",H42))</f>
        <v>00= |01= </v>
      </c>
      <c r="G42" s="141"/>
      <c r="H42" s="141">
        <v>56</v>
      </c>
    </row>
    <row r="43" spans="1:8" ht="15.75">
      <c r="A43" s="160" t="s">
        <v>1382</v>
      </c>
      <c r="B43" s="224" t="str">
        <f>IF('02_Media_Personalization '!F19="","&lt;MANUAL&gt;",HLOOKUP('02_Media_Personalization '!F19,'02_Media_Personalization '!$Q$19:$W$20,2,FALSE))</f>
        <v>&lt;MANUAL&gt;</v>
      </c>
      <c r="C43" s="198" t="str">
        <f t="shared" si="0"/>
        <v>RDELEM</v>
      </c>
      <c r="D43" s="225" t="str">
        <f t="shared" si="1"/>
        <v>004A000100010001</v>
      </c>
      <c r="E43" s="131" t="str">
        <f>IF(B43="&lt;MANUAL&gt;","SelectCase","AsIs")</f>
        <v>SelectCase</v>
      </c>
      <c r="F43" s="224" t="str">
        <f>IF(B43="&lt;MANUAL&gt;","00= |01= ",CONCATENATE("StartPosition=",H43,"|Length=2"))</f>
        <v>00= |01= </v>
      </c>
      <c r="G43" s="141"/>
      <c r="H43" s="141">
        <v>3</v>
      </c>
    </row>
    <row r="44" spans="1:8" ht="15.75">
      <c r="A44" s="160" t="s">
        <v>1383</v>
      </c>
      <c r="B44" s="224" t="str">
        <f>IF('02_Media_Personalization '!E20="","&lt;MANUAL&gt;",'02_Media_Personalization '!E20)</f>
        <v>&lt;MANUAL&gt;</v>
      </c>
      <c r="C44" s="198" t="str">
        <f t="shared" si="0"/>
        <v>RDELEM</v>
      </c>
      <c r="D44" s="225" t="str">
        <f t="shared" si="1"/>
        <v>004A000100010001</v>
      </c>
      <c r="E44" s="131" t="str">
        <f>IF(B44="&lt;MANUAL&gt;","SelectCase","Hex2ASCII")</f>
        <v>SelectCase</v>
      </c>
      <c r="F44" s="113" t="str">
        <f>IF(B44="&lt;MANUAL&gt;","00= |01= ",CONCATENATE("BytesPerData=2|ByteSwap=FALSE|StartByte=",H44))</f>
        <v>00= |01= </v>
      </c>
      <c r="G44" s="134"/>
      <c r="H44" s="141">
        <f>H41+186</f>
        <v>190</v>
      </c>
    </row>
    <row r="45" spans="1:8" ht="15.75">
      <c r="A45" s="160" t="s">
        <v>1384</v>
      </c>
      <c r="B45" s="224" t="str">
        <f>IF('02_Media_Personalization '!J20="","&lt;MANUAL&gt;",'02_Media_Personalization '!J20)</f>
        <v>&lt;MANUAL&gt;</v>
      </c>
      <c r="C45" s="198" t="str">
        <f t="shared" si="0"/>
        <v>RDELEM</v>
      </c>
      <c r="D45" s="225" t="str">
        <f t="shared" si="1"/>
        <v>004A000100010001</v>
      </c>
      <c r="E45" s="131" t="str">
        <f>IF(B45="&lt;MANUAL&gt;","SelectCase","Hex2ASCII")</f>
        <v>SelectCase</v>
      </c>
      <c r="F45" s="113" t="str">
        <f>IF(B45="&lt;MANUAL&gt;","00= |01= ",CONCATENATE("BytesPerData=1|ByteSwap=TRUE|StartByte=",H45))</f>
        <v>00= |01= </v>
      </c>
      <c r="G45" s="134"/>
      <c r="H45" s="141">
        <f>H42+186</f>
        <v>242</v>
      </c>
    </row>
    <row r="46" spans="1:8" ht="15.75">
      <c r="A46" s="160" t="s">
        <v>1385</v>
      </c>
      <c r="B46" s="224" t="str">
        <f>IF('02_Media_Personalization '!F20="","&lt;MANUAL&gt;",HLOOKUP('02_Media_Personalization '!F20,'02_Media_Personalization '!$Q$19:$W$20,2,FALSE))</f>
        <v>&lt;MANUAL&gt;</v>
      </c>
      <c r="C46" s="198" t="str">
        <f t="shared" si="0"/>
        <v>RDELEM</v>
      </c>
      <c r="D46" s="225" t="str">
        <f t="shared" si="1"/>
        <v>004A000100010001</v>
      </c>
      <c r="E46" s="131" t="str">
        <f>IF(B46="&lt;MANUAL&gt;","SelectCase","AsIs")</f>
        <v>SelectCase</v>
      </c>
      <c r="F46" s="224" t="str">
        <f>IF(B46="&lt;MANUAL&gt;","00= |01= ",CONCATENATE("StartPosition=",H46,"|Length=2"))</f>
        <v>00= |01= </v>
      </c>
      <c r="G46" s="134"/>
      <c r="H46" s="141">
        <f>H43+372</f>
        <v>375</v>
      </c>
    </row>
    <row r="47" spans="1:8" ht="15.75">
      <c r="A47" s="160" t="s">
        <v>1386</v>
      </c>
      <c r="B47" s="224" t="str">
        <f>IF('02_Media_Personalization '!E21="","&lt;MANUAL&gt;",'02_Media_Personalization '!E21)</f>
        <v>&lt;MANUAL&gt;</v>
      </c>
      <c r="C47" s="198" t="str">
        <f t="shared" si="0"/>
        <v>RDELEM</v>
      </c>
      <c r="D47" s="225" t="str">
        <f t="shared" si="1"/>
        <v>004A000100010001</v>
      </c>
      <c r="E47" s="131" t="str">
        <f>IF(B47="&lt;MANUAL&gt;","SelectCase","Hex2ASCII")</f>
        <v>SelectCase</v>
      </c>
      <c r="F47" s="113" t="str">
        <f>IF(B47="&lt;MANUAL&gt;","00= |01= ",CONCATENATE("BytesPerData=2|ByteSwap=FALSE|StartByte=",H47))</f>
        <v>00= |01= </v>
      </c>
      <c r="G47" s="134"/>
      <c r="H47" s="141">
        <f>H44+186</f>
        <v>376</v>
      </c>
    </row>
    <row r="48" spans="1:8" ht="15.75">
      <c r="A48" s="160" t="s">
        <v>1387</v>
      </c>
      <c r="B48" s="224" t="str">
        <f>IF('02_Media_Personalization '!J21="","&lt;MANUAL&gt;",'02_Media_Personalization '!J21)</f>
        <v>&lt;MANUAL&gt;</v>
      </c>
      <c r="C48" s="198" t="str">
        <f t="shared" si="0"/>
        <v>RDELEM</v>
      </c>
      <c r="D48" s="225" t="str">
        <f t="shared" si="1"/>
        <v>004A000100010001</v>
      </c>
      <c r="E48" s="131" t="str">
        <f>IF(B48="&lt;MANUAL&gt;","SelectCase","Hex2ASCII")</f>
        <v>SelectCase</v>
      </c>
      <c r="F48" s="113" t="str">
        <f>IF(B48="&lt;MANUAL&gt;","00= |01= ",CONCATENATE("BytesPerData=1|ByteSwap=TRUE|StartByte=",H48))</f>
        <v>00= |01= </v>
      </c>
      <c r="G48" s="134"/>
      <c r="H48" s="141">
        <f>H45+186</f>
        <v>428</v>
      </c>
    </row>
    <row r="49" spans="1:8" ht="15.75">
      <c r="A49" s="160" t="s">
        <v>1388</v>
      </c>
      <c r="B49" s="224" t="str">
        <f>IF('02_Media_Personalization '!F21="","&lt;MANUAL&gt;",HLOOKUP('02_Media_Personalization '!F21,'02_Media_Personalization '!$Q$19:$W$20,2,FALSE))</f>
        <v>&lt;MANUAL&gt;</v>
      </c>
      <c r="C49" s="198" t="str">
        <f t="shared" si="0"/>
        <v>RDELEM</v>
      </c>
      <c r="D49" s="225" t="str">
        <f t="shared" si="1"/>
        <v>004A000100010001</v>
      </c>
      <c r="E49" s="131" t="str">
        <f>IF(B49="&lt;MANUAL&gt;","SelectCase","AsIs")</f>
        <v>SelectCase</v>
      </c>
      <c r="F49" s="224" t="str">
        <f>IF(B49="&lt;MANUAL&gt;","00= |01= ",CONCATENATE("StartPosition=",H49,"|Length=2"))</f>
        <v>00= |01= </v>
      </c>
      <c r="G49" s="134"/>
      <c r="H49" s="141">
        <f>H46+372</f>
        <v>747</v>
      </c>
    </row>
    <row r="50" spans="1:8" ht="15.75">
      <c r="A50" s="160" t="s">
        <v>1389</v>
      </c>
      <c r="B50" s="224" t="str">
        <f>IF('02_Media_Personalization '!E22="","&lt;MANUAL&gt;",'02_Media_Personalization '!E22)</f>
        <v>&lt;MANUAL&gt;</v>
      </c>
      <c r="C50" s="198" t="str">
        <f t="shared" si="0"/>
        <v>RDELEM</v>
      </c>
      <c r="D50" s="225" t="str">
        <f t="shared" si="1"/>
        <v>004A000100010001</v>
      </c>
      <c r="E50" s="131" t="str">
        <f>IF(B50="&lt;MANUAL&gt;","SelectCase","Hex2ASCII")</f>
        <v>SelectCase</v>
      </c>
      <c r="F50" s="113" t="str">
        <f>IF(B50="&lt;MANUAL&gt;","00= |01= ",CONCATENATE("BytesPerData=2|ByteSwap=FALSE|StartByte=",H50))</f>
        <v>00= |01= </v>
      </c>
      <c r="G50" s="134"/>
      <c r="H50" s="141">
        <f>H47+186</f>
        <v>562</v>
      </c>
    </row>
    <row r="51" spans="1:8" ht="15.75">
      <c r="A51" s="160" t="s">
        <v>1390</v>
      </c>
      <c r="B51" s="224" t="str">
        <f>IF('02_Media_Personalization '!J22="","&lt;MANUAL&gt;",'02_Media_Personalization '!J22)</f>
        <v>&lt;MANUAL&gt;</v>
      </c>
      <c r="C51" s="198" t="str">
        <f t="shared" si="0"/>
        <v>RDELEM</v>
      </c>
      <c r="D51" s="225" t="str">
        <f t="shared" si="1"/>
        <v>004A000100010001</v>
      </c>
      <c r="E51" s="131" t="str">
        <f>IF(B51="&lt;MANUAL&gt;","SelectCase","Hex2ASCII")</f>
        <v>SelectCase</v>
      </c>
      <c r="F51" s="113" t="str">
        <f>IF(B51="&lt;MANUAL&gt;","00= |01= ",CONCATENATE("BytesPerData=1|ByteSwap=TRUE|StartByte=",H51))</f>
        <v>00= |01= </v>
      </c>
      <c r="G51" s="134"/>
      <c r="H51" s="141">
        <f>H48+186</f>
        <v>614</v>
      </c>
    </row>
    <row r="52" spans="1:8" ht="15.75">
      <c r="A52" s="160" t="s">
        <v>1391</v>
      </c>
      <c r="B52" s="224" t="str">
        <f>IF('02_Media_Personalization '!F22="","&lt;MANUAL&gt;",HLOOKUP('02_Media_Personalization '!F22,'02_Media_Personalization '!$Q$19:$W$20,2,FALSE))</f>
        <v>&lt;MANUAL&gt;</v>
      </c>
      <c r="C52" s="198" t="str">
        <f t="shared" si="0"/>
        <v>RDELEM</v>
      </c>
      <c r="D52" s="225" t="str">
        <f t="shared" si="1"/>
        <v>004A000100010001</v>
      </c>
      <c r="E52" s="131" t="str">
        <f>IF(B52="&lt;MANUAL&gt;","SelectCase","AsIs")</f>
        <v>SelectCase</v>
      </c>
      <c r="F52" s="224" t="str">
        <f>IF(B52="&lt;MANUAL&gt;","00= |01= ",CONCATENATE("StartPosition=",H52,"|Length=2"))</f>
        <v>00= |01= </v>
      </c>
      <c r="G52" s="134"/>
      <c r="H52" s="141">
        <f>H49+372</f>
        <v>1119</v>
      </c>
    </row>
    <row r="53" spans="1:8" ht="15.75">
      <c r="A53" s="160" t="s">
        <v>1392</v>
      </c>
      <c r="B53" s="224" t="str">
        <f>IF('02_Media_Personalization '!E23="","&lt;MANUAL&gt;",'02_Media_Personalization '!E23)</f>
        <v>&lt;MANUAL&gt;</v>
      </c>
      <c r="C53" s="198" t="str">
        <f t="shared" si="0"/>
        <v>RDELEM</v>
      </c>
      <c r="D53" s="225" t="str">
        <f t="shared" si="1"/>
        <v>004A000100010001</v>
      </c>
      <c r="E53" s="131" t="str">
        <f>IF(B53="&lt;MANUAL&gt;","SelectCase","Hex2ASCII")</f>
        <v>SelectCase</v>
      </c>
      <c r="F53" s="113" t="str">
        <f>IF(B53="&lt;MANUAL&gt;","00= |01= ",CONCATENATE("BytesPerData=2|ByteSwap=FALSE|StartByte=",H53))</f>
        <v>00= |01= </v>
      </c>
      <c r="G53" s="134"/>
      <c r="H53" s="141">
        <f>H50+186</f>
        <v>748</v>
      </c>
    </row>
    <row r="54" spans="1:8" ht="15.75">
      <c r="A54" s="160" t="s">
        <v>1393</v>
      </c>
      <c r="B54" s="224" t="str">
        <f>IF('02_Media_Personalization '!J23="","&lt;MANUAL&gt;",'02_Media_Personalization '!J23)</f>
        <v>&lt;MANUAL&gt;</v>
      </c>
      <c r="C54" s="198" t="str">
        <f t="shared" si="0"/>
        <v>RDELEM</v>
      </c>
      <c r="D54" s="225" t="str">
        <f t="shared" si="1"/>
        <v>004A000100010001</v>
      </c>
      <c r="E54" s="131" t="str">
        <f>IF(B54="&lt;MANUAL&gt;","SelectCase","Hex2ASCII")</f>
        <v>SelectCase</v>
      </c>
      <c r="F54" s="113" t="str">
        <f>IF(B54="&lt;MANUAL&gt;","00= |01= ",CONCATENATE("BytesPerData=1|ByteSwap=TRUE|StartByte=",H54))</f>
        <v>00= |01= </v>
      </c>
      <c r="G54" s="134"/>
      <c r="H54" s="141">
        <f>H51+186</f>
        <v>800</v>
      </c>
    </row>
    <row r="55" spans="1:8" ht="15.75">
      <c r="A55" s="160" t="s">
        <v>1394</v>
      </c>
      <c r="B55" s="224" t="str">
        <f>IF('02_Media_Personalization '!F23="","&lt;MANUAL&gt;",HLOOKUP('02_Media_Personalization '!F23,'02_Media_Personalization '!$Q$19:$W$20,2,FALSE))</f>
        <v>&lt;MANUAL&gt;</v>
      </c>
      <c r="C55" s="198" t="str">
        <f t="shared" si="0"/>
        <v>RDELEM</v>
      </c>
      <c r="D55" s="225" t="str">
        <f t="shared" si="1"/>
        <v>004A000100010001</v>
      </c>
      <c r="E55" s="131" t="str">
        <f>IF(B55="&lt;MANUAL&gt;","SelectCase","AsIs")</f>
        <v>SelectCase</v>
      </c>
      <c r="F55" s="224" t="str">
        <f>IF(B55="&lt;MANUAL&gt;","00= |01= ",CONCATENATE("StartPosition=",H55,"|Length=2"))</f>
        <v>00= |01= </v>
      </c>
      <c r="G55" s="134"/>
      <c r="H55" s="141">
        <f>H52+372</f>
        <v>1491</v>
      </c>
    </row>
    <row r="56" spans="1:8" ht="15.75">
      <c r="A56" s="160" t="s">
        <v>1395</v>
      </c>
      <c r="B56" s="224" t="str">
        <f>IF('02_Media_Personalization '!E24="","&lt;MANUAL&gt;",'02_Media_Personalization '!E24)</f>
        <v>&lt;MANUAL&gt;</v>
      </c>
      <c r="C56" s="198" t="str">
        <f t="shared" si="0"/>
        <v>RDELEM</v>
      </c>
      <c r="D56" s="225" t="str">
        <f t="shared" si="1"/>
        <v>004A000100010001</v>
      </c>
      <c r="E56" s="131" t="str">
        <f>IF(B56="&lt;MANUAL&gt;","SelectCase","Hex2ASCII")</f>
        <v>SelectCase</v>
      </c>
      <c r="F56" s="113" t="str">
        <f>IF(B56="&lt;MANUAL&gt;","00= |01= ",CONCATENATE("BytesPerData=2|ByteSwap=FALSE|StartByte=",H56))</f>
        <v>00= |01= </v>
      </c>
      <c r="G56" s="134"/>
      <c r="H56" s="141">
        <f aca="true" t="shared" si="2" ref="H56:H69">H53+186</f>
        <v>934</v>
      </c>
    </row>
    <row r="57" spans="1:8" ht="15.75">
      <c r="A57" s="160" t="s">
        <v>1396</v>
      </c>
      <c r="B57" s="224" t="str">
        <f>IF('02_Media_Personalization '!J24="","&lt;MANUAL&gt;",'02_Media_Personalization '!J24)</f>
        <v>&lt;MANUAL&gt;</v>
      </c>
      <c r="C57" s="198" t="str">
        <f t="shared" si="0"/>
        <v>RDELEM</v>
      </c>
      <c r="D57" s="225" t="str">
        <f t="shared" si="1"/>
        <v>004A000100010001</v>
      </c>
      <c r="E57" s="131" t="str">
        <f>IF(B57="&lt;MANUAL&gt;","SelectCase","Hex2ASCII")</f>
        <v>SelectCase</v>
      </c>
      <c r="F57" s="113" t="str">
        <f>IF(B57="&lt;MANUAL&gt;","00= |01= ",CONCATENATE("BytesPerData=1|ByteSwap=TRUE|StartByte=",H57))</f>
        <v>00= |01= </v>
      </c>
      <c r="G57" s="134"/>
      <c r="H57" s="141">
        <f t="shared" si="2"/>
        <v>986</v>
      </c>
    </row>
    <row r="58" spans="1:8" ht="15.75">
      <c r="A58" s="160" t="s">
        <v>1397</v>
      </c>
      <c r="B58" s="224" t="str">
        <f>IF('02_Media_Personalization '!F24="","&lt;MANUAL&gt;",HLOOKUP('02_Media_Personalization '!F24,'02_Media_Personalization '!$Q$19:$W$20,2,FALSE))</f>
        <v>&lt;MANUAL&gt;</v>
      </c>
      <c r="C58" s="198" t="str">
        <f t="shared" si="0"/>
        <v>RDELEM</v>
      </c>
      <c r="D58" s="225" t="str">
        <f t="shared" si="1"/>
        <v>004A000100010001</v>
      </c>
      <c r="E58" s="131" t="str">
        <f>IF(B58="&lt;MANUAL&gt;","SelectCase","AsIs")</f>
        <v>SelectCase</v>
      </c>
      <c r="F58" s="224" t="str">
        <f>IF(B58="&lt;MANUAL&gt;","00= |01= ",CONCATENATE("StartPosition=",H58,"|Length=2"))</f>
        <v>00= |01= </v>
      </c>
      <c r="G58" s="134"/>
      <c r="H58" s="141">
        <f>H55+372</f>
        <v>1863</v>
      </c>
    </row>
    <row r="59" spans="1:8" ht="15.75">
      <c r="A59" s="160" t="s">
        <v>1398</v>
      </c>
      <c r="B59" s="224" t="str">
        <f>IF('02_Media_Personalization '!E25="","&lt;MANUAL&gt;",'02_Media_Personalization '!E25)</f>
        <v>&lt;MANUAL&gt;</v>
      </c>
      <c r="C59" s="198" t="str">
        <f t="shared" si="0"/>
        <v>RDELEM</v>
      </c>
      <c r="D59" s="225" t="str">
        <f t="shared" si="1"/>
        <v>004A000100010001</v>
      </c>
      <c r="E59" s="131" t="str">
        <f>IF(B59="&lt;MANUAL&gt;","SelectCase","Hex2ASCII")</f>
        <v>SelectCase</v>
      </c>
      <c r="F59" s="113" t="str">
        <f>IF(B59="&lt;MANUAL&gt;","00= |01= ",CONCATENATE("BytesPerData=2|ByteSwap=FALSE|StartByte=",H59))</f>
        <v>00= |01= </v>
      </c>
      <c r="G59" s="134"/>
      <c r="H59" s="141">
        <f t="shared" si="2"/>
        <v>1120</v>
      </c>
    </row>
    <row r="60" spans="1:8" ht="15.75">
      <c r="A60" s="160" t="s">
        <v>1399</v>
      </c>
      <c r="B60" s="224" t="str">
        <f>IF('02_Media_Personalization '!J25="","&lt;MANUAL&gt;",'02_Media_Personalization '!J25)</f>
        <v>&lt;MANUAL&gt;</v>
      </c>
      <c r="C60" s="198" t="str">
        <f t="shared" si="0"/>
        <v>RDELEM</v>
      </c>
      <c r="D60" s="225" t="str">
        <f t="shared" si="1"/>
        <v>004A000100010001</v>
      </c>
      <c r="E60" s="131" t="str">
        <f>IF(B60="&lt;MANUAL&gt;","SelectCase","Hex2ASCII")</f>
        <v>SelectCase</v>
      </c>
      <c r="F60" s="113" t="str">
        <f>IF(B60="&lt;MANUAL&gt;","00= |01= ",CONCATENATE("BytesPerData=1|ByteSwap=TRUE|StartByte=",H60))</f>
        <v>00= |01= </v>
      </c>
      <c r="G60" s="134"/>
      <c r="H60" s="141">
        <f t="shared" si="2"/>
        <v>1172</v>
      </c>
    </row>
    <row r="61" spans="1:8" ht="15.75">
      <c r="A61" s="160" t="s">
        <v>1400</v>
      </c>
      <c r="B61" s="224" t="str">
        <f>IF('02_Media_Personalization '!F25="","&lt;MANUAL&gt;",HLOOKUP('02_Media_Personalization '!F25,'02_Media_Personalization '!$Q$19:$W$20,2,FALSE))</f>
        <v>&lt;MANUAL&gt;</v>
      </c>
      <c r="C61" s="198" t="str">
        <f t="shared" si="0"/>
        <v>RDELEM</v>
      </c>
      <c r="D61" s="225" t="str">
        <f t="shared" si="1"/>
        <v>004A000100010001</v>
      </c>
      <c r="E61" s="131" t="str">
        <f>IF(B61="&lt;MANUAL&gt;","SelectCase","AsIs")</f>
        <v>SelectCase</v>
      </c>
      <c r="F61" s="224" t="str">
        <f>IF(B61="&lt;MANUAL&gt;","00= |01= ",CONCATENATE("StartPosition=",H61,"|Length=2"))</f>
        <v>00= |01= </v>
      </c>
      <c r="G61" s="134"/>
      <c r="H61" s="141">
        <f>H58+372</f>
        <v>2235</v>
      </c>
    </row>
    <row r="62" spans="1:8" ht="15.75">
      <c r="A62" s="160" t="s">
        <v>1401</v>
      </c>
      <c r="B62" s="224" t="str">
        <f>IF('02_Media_Personalization '!E26="","&lt;MANUAL&gt;",'02_Media_Personalization '!E26)</f>
        <v>&lt;MANUAL&gt;</v>
      </c>
      <c r="C62" s="198" t="str">
        <f t="shared" si="0"/>
        <v>RDELEM</v>
      </c>
      <c r="D62" s="225" t="str">
        <f t="shared" si="1"/>
        <v>004A000100010001</v>
      </c>
      <c r="E62" s="131" t="str">
        <f>IF(B62="&lt;MANUAL&gt;","SelectCase","Hex2ASCII")</f>
        <v>SelectCase</v>
      </c>
      <c r="F62" s="113" t="str">
        <f>IF(B62="&lt;MANUAL&gt;","00= |01= ",CONCATENATE("BytesPerData=2|ByteSwap=FALSE|StartByte=",H62))</f>
        <v>00= |01= </v>
      </c>
      <c r="G62" s="134"/>
      <c r="H62" s="141">
        <f t="shared" si="2"/>
        <v>1306</v>
      </c>
    </row>
    <row r="63" spans="1:8" ht="15.75">
      <c r="A63" s="160" t="s">
        <v>1402</v>
      </c>
      <c r="B63" s="224" t="str">
        <f>IF('02_Media_Personalization '!J26="","&lt;MANUAL&gt;",'02_Media_Personalization '!J26)</f>
        <v>&lt;MANUAL&gt;</v>
      </c>
      <c r="C63" s="198" t="str">
        <f t="shared" si="0"/>
        <v>RDELEM</v>
      </c>
      <c r="D63" s="225" t="str">
        <f t="shared" si="1"/>
        <v>004A000100010001</v>
      </c>
      <c r="E63" s="131" t="str">
        <f>IF(B63="&lt;MANUAL&gt;","SelectCase","Hex2ASCII")</f>
        <v>SelectCase</v>
      </c>
      <c r="F63" s="113" t="str">
        <f>IF(B63="&lt;MANUAL&gt;","00= |01= ",CONCATENATE("BytesPerData=1|ByteSwap=TRUE|StartByte=",H63))</f>
        <v>00= |01= </v>
      </c>
      <c r="G63" s="134"/>
      <c r="H63" s="141">
        <f t="shared" si="2"/>
        <v>1358</v>
      </c>
    </row>
    <row r="64" spans="1:8" ht="15.75">
      <c r="A64" s="160" t="s">
        <v>1403</v>
      </c>
      <c r="B64" s="224" t="str">
        <f>IF('02_Media_Personalization '!F26="","&lt;MANUAL&gt;",HLOOKUP('02_Media_Personalization '!F26,'02_Media_Personalization '!$Q$19:$W$20,2,FALSE))</f>
        <v>&lt;MANUAL&gt;</v>
      </c>
      <c r="C64" s="198" t="str">
        <f t="shared" si="0"/>
        <v>RDELEM</v>
      </c>
      <c r="D64" s="225" t="str">
        <f t="shared" si="1"/>
        <v>004A000100010001</v>
      </c>
      <c r="E64" s="131" t="str">
        <f>IF(B64="&lt;MANUAL&gt;","SelectCase","AsIs")</f>
        <v>SelectCase</v>
      </c>
      <c r="F64" s="224" t="str">
        <f>IF(B64="&lt;MANUAL&gt;","00= |01= ",CONCATENATE("StartPosition=",H64,"|Length=2"))</f>
        <v>00= |01= </v>
      </c>
      <c r="G64" s="134"/>
      <c r="H64" s="141">
        <f>H61+372</f>
        <v>2607</v>
      </c>
    </row>
    <row r="65" spans="1:8" ht="15.75">
      <c r="A65" s="160" t="s">
        <v>1404</v>
      </c>
      <c r="B65" s="224" t="str">
        <f>IF('02_Media_Personalization '!E27="","&lt;MANUAL&gt;",'02_Media_Personalization '!E27)</f>
        <v>&lt;MANUAL&gt;</v>
      </c>
      <c r="C65" s="198" t="str">
        <f t="shared" si="0"/>
        <v>RDELEM</v>
      </c>
      <c r="D65" s="225" t="str">
        <f t="shared" si="1"/>
        <v>004A000100010001</v>
      </c>
      <c r="E65" s="131" t="str">
        <f>IF(B65="&lt;MANUAL&gt;","SelectCase","Hex2ASCII")</f>
        <v>SelectCase</v>
      </c>
      <c r="F65" s="113" t="str">
        <f>IF(B65="&lt;MANUAL&gt;","00= |01= ",CONCATENATE("BytesPerData=2|ByteSwap=FALSE|StartByte=",H65))</f>
        <v>00= |01= </v>
      </c>
      <c r="G65" s="134"/>
      <c r="H65" s="141">
        <f t="shared" si="2"/>
        <v>1492</v>
      </c>
    </row>
    <row r="66" spans="1:8" ht="15.75">
      <c r="A66" s="160" t="s">
        <v>1405</v>
      </c>
      <c r="B66" s="224" t="str">
        <f>IF('02_Media_Personalization '!J27="","&lt;MANUAL&gt;",'02_Media_Personalization '!J27)</f>
        <v>&lt;MANUAL&gt;</v>
      </c>
      <c r="C66" s="198" t="str">
        <f t="shared" si="0"/>
        <v>RDELEM</v>
      </c>
      <c r="D66" s="225" t="str">
        <f t="shared" si="1"/>
        <v>004A000100010001</v>
      </c>
      <c r="E66" s="131" t="str">
        <f>IF(B66="&lt;MANUAL&gt;","SelectCase","Hex2ASCII")</f>
        <v>SelectCase</v>
      </c>
      <c r="F66" s="113" t="str">
        <f>IF(B66="&lt;MANUAL&gt;","00= |01= ",CONCATENATE("BytesPerData=1|ByteSwap=TRUE|StartByte=",H66))</f>
        <v>00= |01= </v>
      </c>
      <c r="G66" s="134"/>
      <c r="H66" s="141">
        <f t="shared" si="2"/>
        <v>1544</v>
      </c>
    </row>
    <row r="67" spans="1:8" ht="15.75">
      <c r="A67" s="160" t="s">
        <v>1406</v>
      </c>
      <c r="B67" s="224" t="str">
        <f>IF('02_Media_Personalization '!F27="","&lt;MANUAL&gt;",HLOOKUP('02_Media_Personalization '!F27,'02_Media_Personalization '!$Q$19:$W$20,2,FALSE))</f>
        <v>&lt;MANUAL&gt;</v>
      </c>
      <c r="C67" s="198" t="str">
        <f t="shared" si="0"/>
        <v>RDELEM</v>
      </c>
      <c r="D67" s="225" t="str">
        <f t="shared" si="1"/>
        <v>004A000100010001</v>
      </c>
      <c r="E67" s="131" t="str">
        <f>IF(B67="&lt;MANUAL&gt;","SelectCase","AsIs")</f>
        <v>SelectCase</v>
      </c>
      <c r="F67" s="224" t="str">
        <f>IF(B67="&lt;MANUAL&gt;","00= |01= ",CONCATENATE("StartPosition=",H67,"|Length=2"))</f>
        <v>00= |01= </v>
      </c>
      <c r="G67" s="134"/>
      <c r="H67" s="141">
        <f>H64+372</f>
        <v>2979</v>
      </c>
    </row>
    <row r="68" spans="1:8" ht="15.75">
      <c r="A68" s="160" t="s">
        <v>1407</v>
      </c>
      <c r="B68" s="224" t="str">
        <f>IF('02_Media_Personalization '!E28="","&lt;MANUAL&gt;",'02_Media_Personalization '!E28)</f>
        <v>&lt;MANUAL&gt;</v>
      </c>
      <c r="C68" s="198" t="str">
        <f t="shared" si="0"/>
        <v>RDELEM</v>
      </c>
      <c r="D68" s="225" t="str">
        <f t="shared" si="1"/>
        <v>004A000100010001</v>
      </c>
      <c r="E68" s="131" t="str">
        <f>IF(B68="&lt;MANUAL&gt;","SelectCase","Hex2ASCII")</f>
        <v>SelectCase</v>
      </c>
      <c r="F68" s="113" t="str">
        <f>IF(B68="&lt;MANUAL&gt;","00= |01= ",CONCATENATE("BytesPerData=2|ByteSwap=FALSE|StartByte=",H68))</f>
        <v>00= |01= </v>
      </c>
      <c r="G68" s="134"/>
      <c r="H68" s="141">
        <f t="shared" si="2"/>
        <v>1678</v>
      </c>
    </row>
    <row r="69" spans="1:8" ht="15.75">
      <c r="A69" s="160" t="s">
        <v>1408</v>
      </c>
      <c r="B69" s="224" t="str">
        <f>IF('02_Media_Personalization '!J28="","&lt;MANUAL&gt;",'02_Media_Personalization '!J28)</f>
        <v>&lt;MANUAL&gt;</v>
      </c>
      <c r="C69" s="198" t="str">
        <f t="shared" si="0"/>
        <v>RDELEM</v>
      </c>
      <c r="D69" s="225" t="str">
        <f t="shared" si="1"/>
        <v>004A000100010001</v>
      </c>
      <c r="E69" s="131" t="str">
        <f>IF(B69="&lt;MANUAL&gt;","SelectCase","Hex2ASCII")</f>
        <v>SelectCase</v>
      </c>
      <c r="F69" s="113" t="str">
        <f>IF(B69="&lt;MANUAL&gt;","00= |01= ",CONCATENATE("BytesPerData=1|ByteSwap=TRUE|StartByte=",H69))</f>
        <v>00= |01= </v>
      </c>
      <c r="G69" s="134"/>
      <c r="H69" s="141">
        <f t="shared" si="2"/>
        <v>1730</v>
      </c>
    </row>
    <row r="70" spans="1:8" ht="15.75">
      <c r="A70" s="160" t="s">
        <v>1409</v>
      </c>
      <c r="B70" s="224" t="str">
        <f>IF('02_Media_Personalization '!F28="","&lt;MANUAL&gt;",HLOOKUP('02_Media_Personalization '!F28,'02_Media_Personalization '!$Q$19:$W$20,2,FALSE))</f>
        <v>&lt;MANUAL&gt;</v>
      </c>
      <c r="C70" s="198" t="str">
        <f t="shared" si="0"/>
        <v>RDELEM</v>
      </c>
      <c r="D70" s="225" t="str">
        <f t="shared" si="1"/>
        <v>004A000100010001</v>
      </c>
      <c r="E70" s="131" t="str">
        <f>IF(B70="&lt;MANUAL&gt;","SelectCase","AsIs")</f>
        <v>SelectCase</v>
      </c>
      <c r="F70" s="224" t="str">
        <f>IF(B70="&lt;MANUAL&gt;","00= |01= ",CONCATENATE("StartPosition=",H70,"|Length=2"))</f>
        <v>00= |01= </v>
      </c>
      <c r="G70" s="134"/>
      <c r="H70" s="141">
        <f>H67+372</f>
        <v>3351</v>
      </c>
    </row>
    <row r="71" spans="1:8" ht="15.75">
      <c r="A71" s="144" t="s">
        <v>587</v>
      </c>
      <c r="B71" s="145" t="s">
        <v>31</v>
      </c>
      <c r="C71" s="153"/>
      <c r="D71" s="154"/>
      <c r="E71" s="153"/>
      <c r="F71" s="156"/>
      <c r="G71" s="155"/>
      <c r="H71" s="155"/>
    </row>
    <row r="72" spans="1:12" ht="15.75">
      <c r="A72" s="91" t="s">
        <v>1174</v>
      </c>
      <c r="B72" s="91" t="str">
        <f>'03_GSM_Specific'!G3</f>
        <v>On</v>
      </c>
      <c r="C72" s="151" t="s">
        <v>600</v>
      </c>
      <c r="D72" s="132" t="s">
        <v>235</v>
      </c>
      <c r="E72" s="131" t="s">
        <v>236</v>
      </c>
      <c r="F72" s="130" t="s">
        <v>1575</v>
      </c>
      <c r="G72" s="134" t="s">
        <v>198</v>
      </c>
      <c r="H72" s="141"/>
      <c r="L72" s="107" t="str">
        <f>IF(B72="On","1",IF(B72="Off","0","null"))</f>
        <v>1</v>
      </c>
    </row>
    <row r="73" spans="1:12" ht="25.5">
      <c r="A73" s="91" t="s">
        <v>1175</v>
      </c>
      <c r="B73" s="91" t="str">
        <f>'03_GSM_Specific'!G4</f>
        <v>From SIM</v>
      </c>
      <c r="C73" s="151" t="s">
        <v>600</v>
      </c>
      <c r="D73" s="132" t="s">
        <v>246</v>
      </c>
      <c r="E73" s="131" t="s">
        <v>1073</v>
      </c>
      <c r="F73" s="130" t="s">
        <v>851</v>
      </c>
      <c r="G73" s="134" t="s">
        <v>199</v>
      </c>
      <c r="H73" s="141"/>
      <c r="L73" s="107" t="str">
        <f>CONCATENATE("0x",MID(F73,FIND(B73,F73)-3,2))</f>
        <v>0x01</v>
      </c>
    </row>
    <row r="74" spans="1:12" ht="15.75">
      <c r="A74" s="90" t="s">
        <v>1177</v>
      </c>
      <c r="B74" s="91" t="str">
        <f>'03_GSM_Specific'!G5</f>
        <v>Medium</v>
      </c>
      <c r="C74" s="151" t="s">
        <v>600</v>
      </c>
      <c r="D74" s="132" t="s">
        <v>247</v>
      </c>
      <c r="E74" s="131" t="s">
        <v>1073</v>
      </c>
      <c r="F74" s="130" t="s">
        <v>852</v>
      </c>
      <c r="G74" s="134" t="s">
        <v>200</v>
      </c>
      <c r="H74" s="141"/>
      <c r="L74" s="107" t="str">
        <f>CONCATENATE("0x",MID(F74,FIND(B74,F74)-3,2))</f>
        <v>0x01</v>
      </c>
    </row>
    <row r="75" spans="1:12" ht="25.5">
      <c r="A75" s="91" t="s">
        <v>1180</v>
      </c>
      <c r="B75" s="91" t="str">
        <f>'03_GSM_Specific'!G6</f>
        <v>On</v>
      </c>
      <c r="C75" s="151" t="s">
        <v>600</v>
      </c>
      <c r="D75" s="132" t="s">
        <v>235</v>
      </c>
      <c r="E75" s="131" t="s">
        <v>236</v>
      </c>
      <c r="F75" s="130" t="s">
        <v>1576</v>
      </c>
      <c r="G75" s="134" t="s">
        <v>206</v>
      </c>
      <c r="H75" s="141"/>
      <c r="L75" s="107" t="str">
        <f>IF(B75="On","1",IF(B75="Off","0","null"))</f>
        <v>1</v>
      </c>
    </row>
    <row r="76" spans="1:12" ht="15.75">
      <c r="A76" s="91" t="s">
        <v>1182</v>
      </c>
      <c r="B76" s="91" t="str">
        <f>'03_GSM_Specific'!G7</f>
        <v>On</v>
      </c>
      <c r="C76" s="151" t="s">
        <v>600</v>
      </c>
      <c r="D76" s="132" t="s">
        <v>235</v>
      </c>
      <c r="E76" s="131" t="s">
        <v>236</v>
      </c>
      <c r="F76" s="130" t="s">
        <v>820</v>
      </c>
      <c r="G76" s="134" t="s">
        <v>207</v>
      </c>
      <c r="H76" s="141"/>
      <c r="L76" s="107" t="str">
        <f>IF(B76="On","1",IF(B76="Off","0","null"))</f>
        <v>1</v>
      </c>
    </row>
    <row r="77" spans="1:12" ht="15.75">
      <c r="A77" s="91" t="s">
        <v>1184</v>
      </c>
      <c r="B77" s="91" t="str">
        <f>'03_GSM_Specific'!G8</f>
        <v>On</v>
      </c>
      <c r="C77" s="151" t="s">
        <v>600</v>
      </c>
      <c r="D77" s="132" t="s">
        <v>235</v>
      </c>
      <c r="E77" s="131" t="s">
        <v>236</v>
      </c>
      <c r="F77" s="130" t="s">
        <v>821</v>
      </c>
      <c r="G77" s="134" t="s">
        <v>1459</v>
      </c>
      <c r="H77" s="141"/>
      <c r="L77" s="107" t="str">
        <f>IF(B77="On","1",IF(B77="Off","0","null"))</f>
        <v>1</v>
      </c>
    </row>
    <row r="78" spans="1:12" s="110" customFormat="1" ht="15.75">
      <c r="A78" s="91" t="s">
        <v>1114</v>
      </c>
      <c r="B78" s="91">
        <f>IF('03_GSM_Specific'!H9="min",'03_GSM_Specific'!G9*60000,'03_GSM_Specific'!G9*1000)</f>
        <v>60000</v>
      </c>
      <c r="C78" s="151" t="s">
        <v>600</v>
      </c>
      <c r="D78" s="132" t="s">
        <v>248</v>
      </c>
      <c r="E78" s="131" t="s">
        <v>84</v>
      </c>
      <c r="F78" s="130" t="s">
        <v>45</v>
      </c>
      <c r="G78" s="174" t="s">
        <v>948</v>
      </c>
      <c r="H78" s="149"/>
      <c r="L78" s="110" t="e">
        <f>CONCATENATE("0x",REPT(0,8-LEN(DEC2HEX(B78))),DEC2HEX(B78))</f>
        <v>#NAME?</v>
      </c>
    </row>
    <row r="79" spans="1:12" ht="15.75">
      <c r="A79" s="91" t="s">
        <v>1116</v>
      </c>
      <c r="B79" s="91">
        <f>IF('03_GSM_Specific'!H10="min",'03_GSM_Specific'!G10*60000,'03_GSM_Specific'!G10*1000)</f>
        <v>60000</v>
      </c>
      <c r="C79" s="151" t="s">
        <v>600</v>
      </c>
      <c r="D79" s="132" t="s">
        <v>249</v>
      </c>
      <c r="E79" s="131" t="s">
        <v>84</v>
      </c>
      <c r="F79" s="130" t="s">
        <v>45</v>
      </c>
      <c r="G79" s="174" t="s">
        <v>763</v>
      </c>
      <c r="H79" s="141"/>
      <c r="L79" s="110" t="e">
        <f>CONCATENATE("0x",REPT(0,8-LEN(DEC2HEX(B79))),DEC2HEX(B79))</f>
        <v>#NAME?</v>
      </c>
    </row>
    <row r="80" spans="1:12" ht="15.75">
      <c r="A80" s="160" t="s">
        <v>1118</v>
      </c>
      <c r="B80" s="91" t="str">
        <f>'03_GSM_Specific'!G11</f>
        <v>On</v>
      </c>
      <c r="C80" s="151" t="s">
        <v>600</v>
      </c>
      <c r="D80" s="132" t="s">
        <v>235</v>
      </c>
      <c r="E80" s="131" t="s">
        <v>236</v>
      </c>
      <c r="F80" s="130" t="s">
        <v>822</v>
      </c>
      <c r="G80" s="134" t="s">
        <v>1461</v>
      </c>
      <c r="H80" s="141"/>
      <c r="L80" s="107" t="str">
        <f>IF(B80="On","1",IF(B80="Off","0","null"))</f>
        <v>1</v>
      </c>
    </row>
    <row r="81" spans="1:12" ht="15.75">
      <c r="A81" s="160" t="s">
        <v>92</v>
      </c>
      <c r="B81" s="91" t="str">
        <f>'03_GSM_Specific'!G12</f>
        <v>On</v>
      </c>
      <c r="C81" s="151" t="s">
        <v>600</v>
      </c>
      <c r="D81" s="111" t="s">
        <v>142</v>
      </c>
      <c r="E81" s="131" t="s">
        <v>1073</v>
      </c>
      <c r="F81" s="130" t="s">
        <v>930</v>
      </c>
      <c r="G81" s="139" t="s">
        <v>90</v>
      </c>
      <c r="H81" s="141"/>
      <c r="L81" s="107" t="str">
        <f>IF(B81="On","0x01",IF(B81="Off","0x00","null"))</f>
        <v>0x01</v>
      </c>
    </row>
    <row r="82" spans="1:8" ht="15.75">
      <c r="A82" s="144" t="s">
        <v>587</v>
      </c>
      <c r="B82" s="145" t="s">
        <v>32</v>
      </c>
      <c r="C82" s="153"/>
      <c r="D82" s="154"/>
      <c r="E82" s="153"/>
      <c r="F82" s="156"/>
      <c r="G82" s="155"/>
      <c r="H82" s="155"/>
    </row>
    <row r="83" spans="1:12" ht="15.75">
      <c r="A83" s="91" t="s">
        <v>287</v>
      </c>
      <c r="B83" s="90" t="str">
        <f>IF('04_GSM_SMS-EMS-MMS-Email'!G3=""," ",IF('04_GSM_SMS-EMS-MMS-Email'!G3="none"," ",IF('04_GSM_SMS-EMS-MMS-Email'!G3="No default value"," ",IF('04_GSM_SMS-EMS-MMS-Email'!G3="No default values"," ",'04_GSM_SMS-EMS-MMS-Email'!G3))))</f>
        <v>On</v>
      </c>
      <c r="C83" s="151" t="s">
        <v>600</v>
      </c>
      <c r="D83" s="132" t="s">
        <v>235</v>
      </c>
      <c r="E83" s="131" t="s">
        <v>236</v>
      </c>
      <c r="F83" s="130" t="s">
        <v>823</v>
      </c>
      <c r="G83" s="134" t="s">
        <v>756</v>
      </c>
      <c r="H83" s="141"/>
      <c r="L83" s="107" t="str">
        <f>IF(B83="On","1",IF(B83="Off","0","null"))</f>
        <v>1</v>
      </c>
    </row>
    <row r="84" spans="1:12" ht="15.75">
      <c r="A84" s="91" t="s">
        <v>943</v>
      </c>
      <c r="B84" s="90" t="str">
        <f>IF('04_GSM_SMS-EMS-MMS-Email'!G4=""," ",IF('04_GSM_SMS-EMS-MMS-Email'!G4="none"," ",IF('04_GSM_SMS-EMS-MMS-Email'!G4="No default value"," ",IF('04_GSM_SMS-EMS-MMS-Email'!G4="No default values"," ",'04_GSM_SMS-EMS-MMS-Email'!G4))))</f>
        <v>Off</v>
      </c>
      <c r="C84" s="151" t="s">
        <v>600</v>
      </c>
      <c r="D84" s="132" t="s">
        <v>235</v>
      </c>
      <c r="E84" s="131" t="s">
        <v>236</v>
      </c>
      <c r="F84" s="130" t="s">
        <v>824</v>
      </c>
      <c r="G84" s="134" t="s">
        <v>757</v>
      </c>
      <c r="H84" s="141"/>
      <c r="L84" s="107" t="str">
        <f>IF(B84="On","1",IF(B84="Off","0","null"))</f>
        <v>0</v>
      </c>
    </row>
    <row r="85" spans="1:12" ht="15.75">
      <c r="A85" s="91" t="s">
        <v>698</v>
      </c>
      <c r="B85" s="90" t="str">
        <f>IF('04_GSM_SMS-EMS-MMS-Email'!G5=""," ",IF('04_GSM_SMS-EMS-MMS-Email'!G5="none"," ",IF('04_GSM_SMS-EMS-MMS-Email'!G5="No default value"," ",IF('04_GSM_SMS-EMS-MMS-Email'!G5="No default values"," ",'04_GSM_SMS-EMS-MMS-Email'!G5))))</f>
        <v> </v>
      </c>
      <c r="C85" s="151" t="s">
        <v>600</v>
      </c>
      <c r="D85" s="132" t="s">
        <v>804</v>
      </c>
      <c r="E85" s="131" t="s">
        <v>596</v>
      </c>
      <c r="F85" s="130" t="s">
        <v>1496</v>
      </c>
      <c r="G85" s="134" t="s">
        <v>758</v>
      </c>
      <c r="H85" s="141"/>
      <c r="L85" s="107" t="str">
        <f>B85</f>
        <v> </v>
      </c>
    </row>
    <row r="86" spans="1:12" ht="15.75">
      <c r="A86" s="160" t="s">
        <v>699</v>
      </c>
      <c r="B86" s="90" t="str">
        <f>IF('04_GSM_SMS-EMS-MMS-Email'!G6=""," ",IF('04_GSM_SMS-EMS-MMS-Email'!G6="none"," ",IF('04_GSM_SMS-EMS-MMS-Email'!G6="No default value"," ",IF('04_GSM_SMS-EMS-MMS-Email'!G6="No default values"," ",'04_GSM_SMS-EMS-MMS-Email'!G6))))</f>
        <v>ITAP Spanish</v>
      </c>
      <c r="C86" s="151" t="s">
        <v>600</v>
      </c>
      <c r="D86" s="132" t="s">
        <v>250</v>
      </c>
      <c r="E86" s="131" t="s">
        <v>1073</v>
      </c>
      <c r="F86" s="130" t="str">
        <f>IF('01_Initial Setup'!C9="0039",J87,I87)</f>
        <v>00=ITAP English|01=ITAP French|02=ITAP Spanish|03=ITAP Portuguese|04=TAP Current Language|05=TAP Extended</v>
      </c>
      <c r="G86" s="134" t="s">
        <v>658</v>
      </c>
      <c r="H86" s="141"/>
      <c r="I86" s="129" t="s">
        <v>1080</v>
      </c>
      <c r="J86" s="129" t="s">
        <v>1081</v>
      </c>
      <c r="K86" s="129" t="s">
        <v>1189</v>
      </c>
      <c r="L86" s="107" t="str">
        <f>CONCATENATE("0x",MID(F86,FIND(B86,F86)-3,2))</f>
        <v>0x02</v>
      </c>
    </row>
    <row r="87" spans="1:12" ht="15.75">
      <c r="A87" s="160" t="s">
        <v>289</v>
      </c>
      <c r="B87" s="90" t="str">
        <f>IF('04_GSM_SMS-EMS-MMS-Email'!G7=""," ",IF('04_GSM_SMS-EMS-MMS-Email'!G7="none"," ",IF('04_GSM_SMS-EMS-MMS-Email'!G7="No default value"," ",IF('04_GSM_SMS-EMS-MMS-Email'!G7="No default values"," ",'04_GSM_SMS-EMS-MMS-Email'!G7))))</f>
        <v>TAP Current Language</v>
      </c>
      <c r="C87" s="151" t="s">
        <v>600</v>
      </c>
      <c r="D87" s="132" t="s">
        <v>927</v>
      </c>
      <c r="E87" s="131" t="s">
        <v>1073</v>
      </c>
      <c r="F87" s="130" t="str">
        <f>F86</f>
        <v>00=ITAP English|01=ITAP French|02=ITAP Spanish|03=ITAP Portuguese|04=TAP Current Language|05=TAP Extended</v>
      </c>
      <c r="G87" s="134" t="s">
        <v>659</v>
      </c>
      <c r="H87" s="141"/>
      <c r="I87" s="130" t="s">
        <v>692</v>
      </c>
      <c r="J87" s="130" t="s">
        <v>131</v>
      </c>
      <c r="K87" s="130" t="s">
        <v>540</v>
      </c>
      <c r="L87" s="107" t="str">
        <f>CONCATENATE("0x",MID(F87,FIND(B87,F87)-3,2))</f>
        <v>0x04</v>
      </c>
    </row>
    <row r="88" spans="1:12" ht="15.75">
      <c r="A88" s="160" t="s">
        <v>290</v>
      </c>
      <c r="B88" s="90" t="str">
        <f>IF('04_GSM_SMS-EMS-MMS-Email'!G8=""," ",IF('04_GSM_SMS-EMS-MMS-Email'!G8="none"," ",IF('04_GSM_SMS-EMS-MMS-Email'!G8="No default value"," ",IF('04_GSM_SMS-EMS-MMS-Email'!G8="No default values"," ",'04_GSM_SMS-EMS-MMS-Email'!G8))))</f>
        <v>On</v>
      </c>
      <c r="C88" s="151" t="s">
        <v>600</v>
      </c>
      <c r="D88" s="132" t="s">
        <v>1423</v>
      </c>
      <c r="E88" s="131" t="s">
        <v>1073</v>
      </c>
      <c r="F88" s="130" t="s">
        <v>930</v>
      </c>
      <c r="G88" s="134" t="s">
        <v>660</v>
      </c>
      <c r="H88" s="141"/>
      <c r="L88" s="107" t="str">
        <f>IF(B88="On","0x01",IF(B88="Off","0x00","null"))</f>
        <v>0x01</v>
      </c>
    </row>
    <row r="89" spans="1:12" ht="15.75">
      <c r="A89" s="160" t="s">
        <v>412</v>
      </c>
      <c r="B89" s="90">
        <f>IF('04_GSM_SMS-EMS-MMS-Email'!G9="","0",IF('04_GSM_SMS-EMS-MMS-Email'!G9="none","0",IF('04_GSM_SMS-EMS-MMS-Email'!G9="No default value","0",IF('04_GSM_SMS-EMS-MMS-Email'!G9="No default values","0",'04_GSM_SMS-EMS-MMS-Email'!G9))))</f>
        <v>50</v>
      </c>
      <c r="C89" s="151" t="s">
        <v>600</v>
      </c>
      <c r="D89" s="132" t="s">
        <v>928</v>
      </c>
      <c r="E89" s="131" t="s">
        <v>84</v>
      </c>
      <c r="F89" s="130" t="s">
        <v>670</v>
      </c>
      <c r="G89" s="134" t="s">
        <v>661</v>
      </c>
      <c r="H89" s="141"/>
      <c r="L89" s="110" t="e">
        <f>CONCATENATE("0x",REPT(0,8-LEN(DEC2HEX(B89))),DEC2HEX(B89))</f>
        <v>#NAME?</v>
      </c>
    </row>
    <row r="90" spans="1:12" ht="15.75">
      <c r="A90" s="160" t="s">
        <v>1498</v>
      </c>
      <c r="B90" s="90" t="str">
        <f>IF('04_GSM_SMS-EMS-MMS-Email'!G10=""," ",IF('04_GSM_SMS-EMS-MMS-Email'!G10="none"," ",IF('04_GSM_SMS-EMS-MMS-Email'!G10="No default value"," ",IF('04_GSM_SMS-EMS-MMS-Email'!G10="No default values"," ",'04_GSM_SMS-EMS-MMS-Email'!G10))))</f>
        <v>Off</v>
      </c>
      <c r="C90" s="151" t="s">
        <v>600</v>
      </c>
      <c r="D90" s="132" t="s">
        <v>929</v>
      </c>
      <c r="E90" s="131" t="s">
        <v>1073</v>
      </c>
      <c r="F90" s="130" t="s">
        <v>930</v>
      </c>
      <c r="G90" s="134" t="s">
        <v>662</v>
      </c>
      <c r="H90" s="141"/>
      <c r="L90" s="107" t="str">
        <f>IF(B90="On","0x01",IF(B90="Off","0x00","null"))</f>
        <v>0x00</v>
      </c>
    </row>
    <row r="91" spans="1:12" ht="15.75">
      <c r="A91" s="160" t="s">
        <v>1230</v>
      </c>
      <c r="B91" s="90" t="str">
        <f>IF('04_GSM_SMS-EMS-MMS-Email'!G11=""," ",IF('04_GSM_SMS-EMS-MMS-Email'!G11="none"," ",IF('04_GSM_SMS-EMS-MMS-Email'!G11="No default value"," ",IF('04_GSM_SMS-EMS-MMS-Email'!G11="No default values"," ",'04_GSM_SMS-EMS-MMS-Email'!G11))))</f>
        <v>Off</v>
      </c>
      <c r="C91" s="151" t="s">
        <v>600</v>
      </c>
      <c r="D91" s="132" t="s">
        <v>235</v>
      </c>
      <c r="E91" s="131" t="s">
        <v>236</v>
      </c>
      <c r="F91" s="130" t="s">
        <v>825</v>
      </c>
      <c r="G91" s="134" t="s">
        <v>663</v>
      </c>
      <c r="H91" s="141"/>
      <c r="L91" s="107" t="str">
        <f>IF(B91="On","1",IF(B91="Off","0","null"))</f>
        <v>0</v>
      </c>
    </row>
    <row r="92" spans="1:12" ht="15.75">
      <c r="A92" s="160" t="s">
        <v>488</v>
      </c>
      <c r="B92" s="90" t="str">
        <f>IF('04_GSM_SMS-EMS-MMS-Email'!G12=""," ",IF('04_GSM_SMS-EMS-MMS-Email'!G12="none"," ",IF('04_GSM_SMS-EMS-MMS-Email'!G12="No default value"," ",IF('04_GSM_SMS-EMS-MMS-Email'!G12="No default values"," ",'04_GSM_SMS-EMS-MMS-Email'!G12))))</f>
        <v>http://mms.movistar.com.ve:8088/mms</v>
      </c>
      <c r="C92" s="151" t="s">
        <v>600</v>
      </c>
      <c r="D92" s="132" t="s">
        <v>931</v>
      </c>
      <c r="E92" s="131" t="s">
        <v>596</v>
      </c>
      <c r="F92" s="130"/>
      <c r="G92" s="134" t="s">
        <v>764</v>
      </c>
      <c r="H92" s="141"/>
      <c r="L92" s="107" t="str">
        <f>B92</f>
        <v>http://mms.movistar.com.ve:8088/mms</v>
      </c>
    </row>
    <row r="93" spans="1:12" ht="15.75">
      <c r="A93" s="160" t="s">
        <v>490</v>
      </c>
      <c r="B93" s="90" t="str">
        <f>IF('04_GSM_SMS-EMS-MMS-Email'!G13=""," ",IF('04_GSM_SMS-EMS-MMS-Email'!G13="none"," ",IF('04_GSM_SMS-EMS-MMS-Email'!G13="No default value"," ",IF('04_GSM_SMS-EMS-MMS-Email'!G13="No default values"," ",'04_GSM_SMS-EMS-MMS-Email'!G13))))</f>
        <v>MMS</v>
      </c>
      <c r="C93" s="151" t="s">
        <v>600</v>
      </c>
      <c r="D93" s="132" t="s">
        <v>25</v>
      </c>
      <c r="E93" s="131" t="s">
        <v>596</v>
      </c>
      <c r="F93" s="130" t="s">
        <v>239</v>
      </c>
      <c r="G93" s="134" t="s">
        <v>815</v>
      </c>
      <c r="H93" s="141"/>
      <c r="L93" s="107" t="str">
        <f>B93</f>
        <v>MMS</v>
      </c>
    </row>
    <row r="94" spans="1:12" ht="15.75">
      <c r="A94" s="160" t="s">
        <v>539</v>
      </c>
      <c r="B94" s="90" t="str">
        <f>IF('04_GSM_SMS-EMS-MMS-Email'!G14=""," ",IF('04_GSM_SMS-EMS-MMS-Email'!G14="none"," ",IF('04_GSM_SMS-EMS-MMS-Email'!G14="No default value"," ",IF('04_GSM_SMS-EMS-MMS-Email'!G14="No default values"," ",'04_GSM_SMS-EMS-MMS-Email'!G14))))</f>
        <v>100K</v>
      </c>
      <c r="C94" s="151" t="s">
        <v>600</v>
      </c>
      <c r="D94" s="132" t="s">
        <v>1424</v>
      </c>
      <c r="E94" s="131" t="s">
        <v>1073</v>
      </c>
      <c r="F94" s="134" t="s">
        <v>284</v>
      </c>
      <c r="G94" s="175" t="s">
        <v>765</v>
      </c>
      <c r="H94" s="141"/>
      <c r="L94" s="110" t="e">
        <f>IF(B94=" ","0x00000000",CONCATENATE("0x",REPT(0,8-LEN(DEC2HEX(1024*MID(B94,1,3)))),DEC2HEX(1024*MID(B94,1,3))))</f>
        <v>#NAME?</v>
      </c>
    </row>
    <row r="95" spans="1:12" ht="15.75">
      <c r="A95" s="160" t="s">
        <v>953</v>
      </c>
      <c r="B95" s="90" t="s">
        <v>942</v>
      </c>
      <c r="C95" s="151" t="s">
        <v>600</v>
      </c>
      <c r="D95" s="132" t="s">
        <v>955</v>
      </c>
      <c r="E95" s="131" t="s">
        <v>1073</v>
      </c>
      <c r="F95" s="134" t="s">
        <v>284</v>
      </c>
      <c r="G95" s="175" t="s">
        <v>954</v>
      </c>
      <c r="H95" s="141"/>
      <c r="L95" s="107" t="s">
        <v>1425</v>
      </c>
    </row>
    <row r="96" spans="1:8" ht="15.75">
      <c r="A96" s="144" t="s">
        <v>587</v>
      </c>
      <c r="B96" s="163" t="s">
        <v>33</v>
      </c>
      <c r="C96" s="161"/>
      <c r="D96" s="154"/>
      <c r="E96" s="153"/>
      <c r="F96" s="155"/>
      <c r="G96" s="155"/>
      <c r="H96" s="155"/>
    </row>
    <row r="97" spans="1:12" ht="15.75">
      <c r="A97" s="160" t="s">
        <v>86</v>
      </c>
      <c r="B97" s="162">
        <f>'05_Subsidy Lock_GSM '!G4</f>
        <v>3</v>
      </c>
      <c r="C97" s="151" t="s">
        <v>600</v>
      </c>
      <c r="D97" s="132" t="s">
        <v>87</v>
      </c>
      <c r="E97" s="131" t="s">
        <v>84</v>
      </c>
      <c r="F97" s="130" t="s">
        <v>85</v>
      </c>
      <c r="G97" s="134" t="s">
        <v>766</v>
      </c>
      <c r="H97" s="141"/>
      <c r="L97" s="110" t="e">
        <f>CONCATENATE("0x",REPT(0,8-LEN(DEC2HEX(B97))),DEC2HEX(B97))</f>
        <v>#NAME?</v>
      </c>
    </row>
    <row r="98" spans="1:12" ht="15.75">
      <c r="A98" s="160" t="s">
        <v>413</v>
      </c>
      <c r="B98" s="162">
        <f>'05_Subsidy Lock_GSM '!G4</f>
        <v>3</v>
      </c>
      <c r="C98" s="151" t="s">
        <v>600</v>
      </c>
      <c r="D98" s="132" t="s">
        <v>913</v>
      </c>
      <c r="E98" s="131" t="s">
        <v>84</v>
      </c>
      <c r="F98" s="130" t="s">
        <v>85</v>
      </c>
      <c r="G98" s="134" t="s">
        <v>197</v>
      </c>
      <c r="H98" s="141"/>
      <c r="L98" s="110" t="e">
        <f>CONCATENATE("0x",REPT(0,8-LEN(DEC2HEX(B98))),DEC2HEX(B98))</f>
        <v>#NAME?</v>
      </c>
    </row>
    <row r="99" spans="1:12" ht="15.75">
      <c r="A99" s="112" t="s">
        <v>414</v>
      </c>
      <c r="B99" s="162">
        <f>'05_Subsidy Lock_GSM '!G5</f>
        <v>120</v>
      </c>
      <c r="C99" s="151" t="s">
        <v>600</v>
      </c>
      <c r="D99" s="132" t="s">
        <v>914</v>
      </c>
      <c r="E99" s="131" t="s">
        <v>84</v>
      </c>
      <c r="F99" s="130" t="s">
        <v>85</v>
      </c>
      <c r="G99" s="134" t="s">
        <v>1563</v>
      </c>
      <c r="H99" s="141"/>
      <c r="L99" s="110" t="e">
        <f>CONCATENATE("0x",REPT(0,8-LEN(DEC2HEX(B99))),DEC2HEX(B99))</f>
        <v>#NAME?</v>
      </c>
    </row>
    <row r="100" spans="1:12" ht="81">
      <c r="A100" s="99" t="s">
        <v>915</v>
      </c>
      <c r="B100" s="150" t="str">
        <f>'05_Subsidy Lock_GSM '!G3</f>
        <v>Lock on Network Only (0x08)</v>
      </c>
      <c r="C100" s="151" t="s">
        <v>600</v>
      </c>
      <c r="D100" s="132" t="s">
        <v>916</v>
      </c>
      <c r="E100" s="131" t="s">
        <v>1073</v>
      </c>
      <c r="F100" s="137" t="s">
        <v>1364</v>
      </c>
      <c r="G100" s="134" t="s">
        <v>767</v>
      </c>
      <c r="H100" s="141"/>
      <c r="L100" s="107" t="str">
        <f>CONCATENATE("0x",MID(F100,FIND(B100,F100)-3,2))</f>
        <v>0x08</v>
      </c>
    </row>
    <row r="101" spans="1:12" ht="15.75">
      <c r="A101" s="122" t="s">
        <v>768</v>
      </c>
      <c r="B101" s="162" t="str">
        <f>'05_Subsidy Lock_GSM '!W7</f>
        <v>373221</v>
      </c>
      <c r="C101" s="151" t="s">
        <v>600</v>
      </c>
      <c r="D101" s="132" t="s">
        <v>769</v>
      </c>
      <c r="E101" s="131" t="s">
        <v>604</v>
      </c>
      <c r="F101" s="129" t="s">
        <v>770</v>
      </c>
      <c r="G101" s="134" t="s">
        <v>1156</v>
      </c>
      <c r="H101" s="141"/>
      <c r="L101" s="107" t="str">
        <f>'05_Subsidy Lock_GSM '!X7</f>
        <v>0x37,0x32,0x21</v>
      </c>
    </row>
    <row r="102" spans="1:12" ht="15.75">
      <c r="A102" s="122" t="s">
        <v>771</v>
      </c>
      <c r="B102" s="162" t="str">
        <f>'05_Subsidy Lock_GSM '!W8</f>
        <v>07F430</v>
      </c>
      <c r="C102" s="151" t="s">
        <v>600</v>
      </c>
      <c r="D102" s="132" t="s">
        <v>769</v>
      </c>
      <c r="E102" s="131" t="s">
        <v>604</v>
      </c>
      <c r="F102" s="129" t="s">
        <v>772</v>
      </c>
      <c r="G102" s="134" t="s">
        <v>1157</v>
      </c>
      <c r="H102" s="141"/>
      <c r="L102" s="107" t="str">
        <f>'05_Subsidy Lock_GSM '!X8</f>
        <v>0x07.0xF4,0x30</v>
      </c>
    </row>
    <row r="103" spans="1:12" ht="15.75">
      <c r="A103" s="122" t="s">
        <v>773</v>
      </c>
      <c r="B103" s="162" t="str">
        <f>'05_Subsidy Lock_GSM '!W9</f>
        <v>47F870</v>
      </c>
      <c r="C103" s="151" t="s">
        <v>600</v>
      </c>
      <c r="D103" s="132" t="s">
        <v>769</v>
      </c>
      <c r="E103" s="131" t="s">
        <v>604</v>
      </c>
      <c r="F103" s="129" t="s">
        <v>774</v>
      </c>
      <c r="G103" s="134" t="s">
        <v>1158</v>
      </c>
      <c r="H103" s="141"/>
      <c r="L103" s="107" t="str">
        <f>'05_Subsidy Lock_GSM '!X9</f>
        <v>0x47.0xF8,0x70</v>
      </c>
    </row>
    <row r="104" spans="1:12" ht="15.75">
      <c r="A104" s="122" t="s">
        <v>775</v>
      </c>
      <c r="B104" s="162" t="str">
        <f>'05_Subsidy Lock_GSM '!W10</f>
        <v>47F000</v>
      </c>
      <c r="C104" s="151" t="s">
        <v>600</v>
      </c>
      <c r="D104" s="132" t="s">
        <v>769</v>
      </c>
      <c r="E104" s="131" t="s">
        <v>604</v>
      </c>
      <c r="F104" s="129" t="s">
        <v>776</v>
      </c>
      <c r="G104" s="134" t="s">
        <v>1159</v>
      </c>
      <c r="H104" s="141"/>
      <c r="L104" s="107" t="str">
        <f>'05_Subsidy Lock_GSM '!X10</f>
        <v>0x47.0xF0,0x00</v>
      </c>
    </row>
    <row r="105" spans="1:12" ht="15.75">
      <c r="A105" s="122" t="s">
        <v>777</v>
      </c>
      <c r="B105" s="162" t="str">
        <f>'05_Subsidy Lock_GSM '!W11</f>
        <v>07F640</v>
      </c>
      <c r="C105" s="151" t="s">
        <v>600</v>
      </c>
      <c r="D105" s="132" t="s">
        <v>769</v>
      </c>
      <c r="E105" s="131" t="s">
        <v>604</v>
      </c>
      <c r="F105" s="129" t="s">
        <v>778</v>
      </c>
      <c r="G105" s="134" t="s">
        <v>1160</v>
      </c>
      <c r="H105" s="141"/>
      <c r="L105" s="107" t="str">
        <f>'05_Subsidy Lock_GSM '!X11</f>
        <v>0x07.0xF6,0x40</v>
      </c>
    </row>
    <row r="106" spans="1:12" ht="15.75">
      <c r="A106" s="122" t="s">
        <v>779</v>
      </c>
      <c r="B106" s="162" t="str">
        <f>'05_Subsidy Lock_GSM '!W12</f>
        <v>27F270</v>
      </c>
      <c r="C106" s="151" t="s">
        <v>600</v>
      </c>
      <c r="D106" s="132" t="s">
        <v>769</v>
      </c>
      <c r="E106" s="131" t="s">
        <v>604</v>
      </c>
      <c r="F106" s="129" t="s">
        <v>780</v>
      </c>
      <c r="G106" s="134" t="s">
        <v>1161</v>
      </c>
      <c r="H106" s="141"/>
      <c r="L106" s="107" t="str">
        <f>'05_Subsidy Lock_GSM '!X12</f>
        <v>0x27.0xF2,0x70</v>
      </c>
    </row>
    <row r="107" spans="1:12" ht="15.75">
      <c r="A107" s="122" t="s">
        <v>781</v>
      </c>
      <c r="B107" s="162" t="str">
        <f>'05_Subsidy Lock_GSM '!W13</f>
        <v>37F440</v>
      </c>
      <c r="C107" s="151" t="s">
        <v>600</v>
      </c>
      <c r="D107" s="132" t="s">
        <v>769</v>
      </c>
      <c r="E107" s="131" t="s">
        <v>604</v>
      </c>
      <c r="F107" s="129" t="s">
        <v>782</v>
      </c>
      <c r="G107" s="134" t="s">
        <v>1162</v>
      </c>
      <c r="H107" s="141"/>
      <c r="L107" s="107" t="str">
        <f>'05_Subsidy Lock_GSM '!X13</f>
        <v>0x37.0xF4,0x40</v>
      </c>
    </row>
    <row r="108" spans="1:12" ht="15.75">
      <c r="A108" s="122" t="s">
        <v>790</v>
      </c>
      <c r="B108" s="162" t="str">
        <f>'05_Subsidy Lock_GSM '!W14</f>
        <v>17F003</v>
      </c>
      <c r="C108" s="151" t="s">
        <v>600</v>
      </c>
      <c r="D108" s="132" t="s">
        <v>769</v>
      </c>
      <c r="E108" s="131" t="s">
        <v>604</v>
      </c>
      <c r="F108" s="129" t="s">
        <v>791</v>
      </c>
      <c r="G108" s="134" t="s">
        <v>1163</v>
      </c>
      <c r="H108" s="141"/>
      <c r="L108" s="107" t="str">
        <f>'05_Subsidy Lock_GSM '!X14</f>
        <v>0x17.0xF0,0x03</v>
      </c>
    </row>
    <row r="109" spans="1:12" ht="15.75">
      <c r="A109" s="122" t="s">
        <v>792</v>
      </c>
      <c r="B109" s="162" t="str">
        <f>'05_Subsidy Lock_GSM '!W15</f>
        <v>17F660</v>
      </c>
      <c r="C109" s="151" t="s">
        <v>600</v>
      </c>
      <c r="D109" s="132" t="s">
        <v>769</v>
      </c>
      <c r="E109" s="131" t="s">
        <v>604</v>
      </c>
      <c r="F109" s="129" t="s">
        <v>793</v>
      </c>
      <c r="G109" s="134" t="s">
        <v>1164</v>
      </c>
      <c r="H109" s="141"/>
      <c r="L109" s="107" t="str">
        <f>'05_Subsidy Lock_GSM '!X15</f>
        <v>0x17.0xF6,0x60</v>
      </c>
    </row>
    <row r="110" spans="1:12" ht="15.75">
      <c r="A110" s="122" t="s">
        <v>794</v>
      </c>
      <c r="B110" s="162" t="str">
        <f>'05_Subsidy Lock_GSM '!W16</f>
        <v>12F470</v>
      </c>
      <c r="C110" s="151" t="s">
        <v>600</v>
      </c>
      <c r="D110" s="132" t="s">
        <v>769</v>
      </c>
      <c r="E110" s="131" t="s">
        <v>604</v>
      </c>
      <c r="F110" s="129" t="s">
        <v>795</v>
      </c>
      <c r="G110" s="134" t="s">
        <v>1165</v>
      </c>
      <c r="H110" s="141"/>
      <c r="L110" s="107" t="str">
        <f>'05_Subsidy Lock_GSM '!X16</f>
        <v>0x12.0xF4,0x70</v>
      </c>
    </row>
    <row r="111" spans="1:12" ht="15.75">
      <c r="A111" s="122" t="s">
        <v>796</v>
      </c>
      <c r="B111" s="162" t="str">
        <f>'05_Subsidy Lock_GSM '!W17</f>
        <v>17F420</v>
      </c>
      <c r="C111" s="151" t="s">
        <v>600</v>
      </c>
      <c r="D111" s="132" t="s">
        <v>769</v>
      </c>
      <c r="E111" s="131" t="s">
        <v>604</v>
      </c>
      <c r="F111" s="129" t="s">
        <v>13</v>
      </c>
      <c r="G111" s="134" t="s">
        <v>1166</v>
      </c>
      <c r="H111" s="141"/>
      <c r="L111" s="107" t="str">
        <f>'05_Subsidy Lock_GSM '!X17</f>
        <v>0x17.0xF4,0x20</v>
      </c>
    </row>
    <row r="112" spans="1:12" ht="15.75">
      <c r="A112" s="122" t="s">
        <v>14</v>
      </c>
      <c r="B112" s="162" t="str">
        <f>'05_Subsidy Lock_GSM '!W18</f>
        <v>33F430</v>
      </c>
      <c r="C112" s="151" t="s">
        <v>600</v>
      </c>
      <c r="D112" s="132" t="s">
        <v>769</v>
      </c>
      <c r="E112" s="131" t="s">
        <v>604</v>
      </c>
      <c r="F112" s="129" t="s">
        <v>15</v>
      </c>
      <c r="G112" s="134" t="s">
        <v>1167</v>
      </c>
      <c r="H112" s="141"/>
      <c r="L112" s="107" t="str">
        <f>'05_Subsidy Lock_GSM '!X18</f>
        <v>0x33.0xF4,0x30</v>
      </c>
    </row>
    <row r="113" spans="1:12" ht="15.75">
      <c r="A113" s="122" t="s">
        <v>671</v>
      </c>
      <c r="B113" s="162" t="str">
        <f>'05_Subsidy Lock_GSM '!W19</f>
        <v>37F020</v>
      </c>
      <c r="C113" s="151" t="s">
        <v>600</v>
      </c>
      <c r="D113" s="132" t="s">
        <v>769</v>
      </c>
      <c r="E113" s="131" t="s">
        <v>604</v>
      </c>
      <c r="F113" s="129" t="s">
        <v>16</v>
      </c>
      <c r="G113" s="134" t="s">
        <v>1168</v>
      </c>
      <c r="H113" s="141"/>
      <c r="L113" s="107" t="str">
        <f>'05_Subsidy Lock_GSM '!X19</f>
        <v>0x37.0xF0,0x20</v>
      </c>
    </row>
    <row r="114" spans="1:8" ht="15.75">
      <c r="A114" s="122" t="s">
        <v>174</v>
      </c>
      <c r="B114" s="162" t="str">
        <f>'05_Subsidy Lock_GSM '!W20</f>
        <v>FFFFFF</v>
      </c>
      <c r="C114" s="151" t="s">
        <v>600</v>
      </c>
      <c r="D114" s="132" t="s">
        <v>769</v>
      </c>
      <c r="E114" s="131" t="s">
        <v>604</v>
      </c>
      <c r="F114" s="129" t="s">
        <v>175</v>
      </c>
      <c r="G114" s="134" t="s">
        <v>176</v>
      </c>
      <c r="H114" s="141"/>
    </row>
    <row r="115" spans="1:8" ht="15.75">
      <c r="A115" s="122" t="s">
        <v>177</v>
      </c>
      <c r="B115" s="162" t="str">
        <f>'05_Subsidy Lock_GSM '!W21</f>
        <v>FFFFFF</v>
      </c>
      <c r="C115" s="151" t="s">
        <v>600</v>
      </c>
      <c r="D115" s="132" t="s">
        <v>769</v>
      </c>
      <c r="E115" s="131" t="s">
        <v>604</v>
      </c>
      <c r="F115" s="129" t="s">
        <v>178</v>
      </c>
      <c r="G115" s="134" t="s">
        <v>179</v>
      </c>
      <c r="H115" s="141"/>
    </row>
    <row r="116" spans="1:8" ht="15.75">
      <c r="A116" s="122" t="s">
        <v>180</v>
      </c>
      <c r="B116" s="162" t="str">
        <f>'05_Subsidy Lock_GSM '!W22</f>
        <v>FFFFFF</v>
      </c>
      <c r="C116" s="151" t="s">
        <v>600</v>
      </c>
      <c r="D116" s="132" t="s">
        <v>769</v>
      </c>
      <c r="E116" s="131" t="s">
        <v>604</v>
      </c>
      <c r="F116" s="129" t="s">
        <v>181</v>
      </c>
      <c r="G116" s="134" t="s">
        <v>182</v>
      </c>
      <c r="H116" s="141"/>
    </row>
    <row r="117" spans="1:8" ht="15.75">
      <c r="A117" s="122" t="s">
        <v>183</v>
      </c>
      <c r="B117" s="162" t="str">
        <f>'05_Subsidy Lock_GSM '!W23</f>
        <v>FFFFFF</v>
      </c>
      <c r="C117" s="151" t="s">
        <v>600</v>
      </c>
      <c r="D117" s="132" t="s">
        <v>769</v>
      </c>
      <c r="E117" s="131" t="s">
        <v>604</v>
      </c>
      <c r="F117" s="129" t="s">
        <v>184</v>
      </c>
      <c r="G117" s="134" t="s">
        <v>185</v>
      </c>
      <c r="H117" s="141"/>
    </row>
    <row r="118" spans="1:8" ht="15.75">
      <c r="A118" s="122" t="s">
        <v>186</v>
      </c>
      <c r="B118" s="162" t="str">
        <f>'05_Subsidy Lock_GSM '!W24</f>
        <v>FFFFFF</v>
      </c>
      <c r="C118" s="151" t="s">
        <v>600</v>
      </c>
      <c r="D118" s="132" t="s">
        <v>769</v>
      </c>
      <c r="E118" s="131" t="s">
        <v>604</v>
      </c>
      <c r="F118" s="129" t="s">
        <v>187</v>
      </c>
      <c r="G118" s="134" t="s">
        <v>188</v>
      </c>
      <c r="H118" s="141"/>
    </row>
    <row r="119" spans="1:8" ht="15.75">
      <c r="A119" s="122" t="s">
        <v>189</v>
      </c>
      <c r="B119" s="162" t="str">
        <f>'05_Subsidy Lock_GSM '!W25</f>
        <v>FFFFFF</v>
      </c>
      <c r="C119" s="151" t="s">
        <v>600</v>
      </c>
      <c r="D119" s="132" t="s">
        <v>769</v>
      </c>
      <c r="E119" s="131" t="s">
        <v>604</v>
      </c>
      <c r="F119" s="129" t="s">
        <v>190</v>
      </c>
      <c r="G119" s="134" t="s">
        <v>191</v>
      </c>
      <c r="H119" s="141"/>
    </row>
    <row r="120" spans="1:8" ht="15.75">
      <c r="A120" s="122" t="s">
        <v>192</v>
      </c>
      <c r="B120" s="162" t="str">
        <f>'05_Subsidy Lock_GSM '!W26</f>
        <v>FFFFFF</v>
      </c>
      <c r="C120" s="151" t="s">
        <v>600</v>
      </c>
      <c r="D120" s="132" t="s">
        <v>769</v>
      </c>
      <c r="E120" s="131" t="s">
        <v>604</v>
      </c>
      <c r="F120" s="129" t="s">
        <v>193</v>
      </c>
      <c r="G120" s="134" t="s">
        <v>194</v>
      </c>
      <c r="H120" s="141"/>
    </row>
    <row r="121" spans="1:8" s="110" customFormat="1" ht="15.75">
      <c r="A121" s="144" t="s">
        <v>587</v>
      </c>
      <c r="B121" s="163" t="s">
        <v>34</v>
      </c>
      <c r="C121" s="161"/>
      <c r="D121" s="147"/>
      <c r="E121" s="146"/>
      <c r="F121" s="163"/>
      <c r="G121" s="144"/>
      <c r="H121" s="144"/>
    </row>
    <row r="122" spans="1:12" ht="15.75">
      <c r="A122" s="91" t="s">
        <v>134</v>
      </c>
      <c r="B122" s="90" t="str">
        <f>IF('06_GPRS_GSM'!G3=""," ",IF('06_GPRS_GSM'!G3="none"," ",IF('06_GPRS_GSM'!G3="No default value"," ",IF('06_GPRS_GSM'!G3="No default values"," ",'06_GPRS_GSM'!G3))))</f>
        <v>0x03</v>
      </c>
      <c r="C122" s="151" t="s">
        <v>600</v>
      </c>
      <c r="D122" s="132" t="s">
        <v>17</v>
      </c>
      <c r="E122" s="131" t="s">
        <v>1073</v>
      </c>
      <c r="F122" s="130" t="s">
        <v>18</v>
      </c>
      <c r="G122" s="134" t="s">
        <v>1564</v>
      </c>
      <c r="H122" s="141"/>
      <c r="L122" s="107" t="str">
        <f>CONCATENATE("0x",MID(F122,FIND(B122,F122)-3,2))</f>
        <v>0x03</v>
      </c>
    </row>
    <row r="123" spans="1:12" ht="15.75">
      <c r="A123" s="91" t="s">
        <v>135</v>
      </c>
      <c r="B123" s="90" t="str">
        <f>IF('06_GPRS_GSM'!G4=""," ",IF('06_GPRS_GSM'!G4="none"," ",IF('06_GPRS_GSM'!G4="No default value"," ",IF('06_GPRS_GSM'!G4="No default values"," ",'06_GPRS_GSM'!G4))))</f>
        <v>GPRS</v>
      </c>
      <c r="C123" s="151" t="s">
        <v>600</v>
      </c>
      <c r="D123" s="132" t="s">
        <v>19</v>
      </c>
      <c r="E123" s="131" t="s">
        <v>596</v>
      </c>
      <c r="F123" s="130" t="s">
        <v>96</v>
      </c>
      <c r="G123" s="134" t="s">
        <v>759</v>
      </c>
      <c r="H123" s="141"/>
      <c r="L123" s="107" t="str">
        <f>B123</f>
        <v>GPRS</v>
      </c>
    </row>
    <row r="124" spans="1:12" ht="15.75">
      <c r="A124" s="91" t="s">
        <v>137</v>
      </c>
      <c r="B124" s="90" t="str">
        <f>IF('06_GPRS_GSM'!G5=""," ",IF('06_GPRS_GSM'!G5="none"," ",IF('06_GPRS_GSM'!G5="No default value"," ",IF('06_GPRS_GSM'!G5="No default values"," ",'06_GPRS_GSM'!G5))))</f>
        <v>Off</v>
      </c>
      <c r="C124" s="151" t="s">
        <v>600</v>
      </c>
      <c r="D124" s="132" t="s">
        <v>235</v>
      </c>
      <c r="E124" s="131" t="s">
        <v>236</v>
      </c>
      <c r="F124" s="130" t="s">
        <v>826</v>
      </c>
      <c r="G124" s="134" t="s">
        <v>814</v>
      </c>
      <c r="H124" s="141"/>
      <c r="L124" s="107" t="str">
        <f>IF(B124="On","1",IF(B124="Off","0","null"))</f>
        <v>0</v>
      </c>
    </row>
    <row r="125" spans="1:12" ht="15.75">
      <c r="A125" s="91" t="s">
        <v>138</v>
      </c>
      <c r="B125" s="90" t="str">
        <f>IF('06_GPRS_GSM'!G6=""," ",IF('06_GPRS_GSM'!G6="none"," ",IF('06_GPRS_GSM'!G6="No default value"," ",IF('06_GPRS_GSM'!G6="No default values"," ",'06_GPRS_GSM'!G6))))</f>
        <v>Off</v>
      </c>
      <c r="C125" s="151" t="s">
        <v>600</v>
      </c>
      <c r="D125" s="132" t="s">
        <v>235</v>
      </c>
      <c r="E125" s="131" t="s">
        <v>236</v>
      </c>
      <c r="F125" s="130" t="s">
        <v>827</v>
      </c>
      <c r="G125" s="134" t="s">
        <v>195</v>
      </c>
      <c r="H125" s="141"/>
      <c r="L125" s="107" t="str">
        <f>IF(B125="On","1",IF(B125="Off","0","null"))</f>
        <v>0</v>
      </c>
    </row>
    <row r="126" spans="1:12" ht="15.75">
      <c r="A126" s="91" t="s">
        <v>139</v>
      </c>
      <c r="B126" s="90" t="str">
        <f>IF('06_GPRS_GSM'!G7=""," ",IF('06_GPRS_GSM'!G7="none"," ",IF('06_GPRS_GSM'!G7="No default value"," ",IF('06_GPRS_GSM'!G7="No default values"," ",'06_GPRS_GSM'!G7))))</f>
        <v>On</v>
      </c>
      <c r="C126" s="151" t="s">
        <v>600</v>
      </c>
      <c r="D126" s="132" t="s">
        <v>20</v>
      </c>
      <c r="E126" s="131" t="s">
        <v>1073</v>
      </c>
      <c r="F126" s="130" t="s">
        <v>930</v>
      </c>
      <c r="G126" s="134" t="s">
        <v>196</v>
      </c>
      <c r="H126" s="141"/>
      <c r="L126" s="107" t="str">
        <f>IF(B126="On","0x01",IF(B126="Off","0x00","null"))</f>
        <v>0x01</v>
      </c>
    </row>
    <row r="127" spans="1:12" ht="15.75">
      <c r="A127" s="91" t="s">
        <v>140</v>
      </c>
      <c r="B127" s="90">
        <f>IF('06_GPRS_GSM'!G8=""," ",IF('06_GPRS_GSM'!G8="none"," ",IF('06_GPRS_GSM'!G8="No default value"," ",IF('06_GPRS_GSM'!G8="No default values"," ",'06_GPRS_GSM'!G8))))</f>
        <v>90</v>
      </c>
      <c r="C127" s="151" t="s">
        <v>600</v>
      </c>
      <c r="D127" s="132" t="s">
        <v>21</v>
      </c>
      <c r="E127" s="131" t="s">
        <v>84</v>
      </c>
      <c r="F127" s="130" t="s">
        <v>783</v>
      </c>
      <c r="G127" s="134" t="s">
        <v>571</v>
      </c>
      <c r="H127" s="141"/>
      <c r="L127" s="110" t="e">
        <f>CONCATENATE("0x",REPT(0,8-LEN(DEC2HEX(B127))),DEC2HEX(B127))</f>
        <v>#NAME?</v>
      </c>
    </row>
    <row r="128" spans="1:8" s="110" customFormat="1" ht="15.75">
      <c r="A128" s="144" t="s">
        <v>587</v>
      </c>
      <c r="B128" s="163" t="s">
        <v>35</v>
      </c>
      <c r="C128" s="161"/>
      <c r="D128" s="147"/>
      <c r="E128" s="146"/>
      <c r="F128" s="163"/>
      <c r="G128" s="144"/>
      <c r="H128" s="144"/>
    </row>
    <row r="129" spans="1:12" ht="15.75">
      <c r="A129" s="117" t="s">
        <v>1202</v>
      </c>
      <c r="B129" s="150" t="str">
        <f>IF('01_Initial Setup'!C12=""," ",IF(B138="GSM 850/1900","Off","On"))</f>
        <v>On</v>
      </c>
      <c r="C129" s="151" t="s">
        <v>600</v>
      </c>
      <c r="D129" s="111" t="s">
        <v>235</v>
      </c>
      <c r="E129" s="151" t="s">
        <v>236</v>
      </c>
      <c r="F129" s="152" t="s">
        <v>828</v>
      </c>
      <c r="G129" s="114" t="s">
        <v>1503</v>
      </c>
      <c r="H129" s="141"/>
      <c r="L129" s="107" t="str">
        <f>IF(B129="On","1",IF(B129="Off","0","null"))</f>
        <v>1</v>
      </c>
    </row>
    <row r="130" spans="1:12" ht="15.75">
      <c r="A130" s="117" t="s">
        <v>1504</v>
      </c>
      <c r="B130" s="150" t="str">
        <f>IF('01_Initial Setup'!C12=""," ",IF(B138="GSM 900/1800","Off","On"))</f>
        <v>On</v>
      </c>
      <c r="C130" s="151" t="s">
        <v>600</v>
      </c>
      <c r="D130" s="111" t="s">
        <v>235</v>
      </c>
      <c r="E130" s="151" t="s">
        <v>236</v>
      </c>
      <c r="F130" s="152" t="s">
        <v>829</v>
      </c>
      <c r="G130" s="119" t="s">
        <v>1505</v>
      </c>
      <c r="H130" s="141"/>
      <c r="L130" s="107" t="str">
        <f>IF(B130="On","1",IF(B130="Off","0","null"))</f>
        <v>1</v>
      </c>
    </row>
    <row r="131" spans="1:12" ht="15.75">
      <c r="A131" s="117" t="s">
        <v>1506</v>
      </c>
      <c r="B131" s="150" t="str">
        <f>IF('01_Initial Setup'!C12=""," ",IF(B138="GSM 900/1800","Off",IF(B138="GSM 900/1800-1900","Off","On")))</f>
        <v>On</v>
      </c>
      <c r="C131" s="151" t="s">
        <v>600</v>
      </c>
      <c r="D131" s="111" t="s">
        <v>235</v>
      </c>
      <c r="E131" s="151" t="s">
        <v>236</v>
      </c>
      <c r="F131" s="152" t="s">
        <v>830</v>
      </c>
      <c r="G131" s="119" t="s">
        <v>1507</v>
      </c>
      <c r="H131" s="141"/>
      <c r="L131" s="107" t="str">
        <f>IF(B131="On","1",IF(B131="Off","0","null"))</f>
        <v>1</v>
      </c>
    </row>
    <row r="132" spans="1:12" ht="15.75">
      <c r="A132" s="117" t="s">
        <v>1508</v>
      </c>
      <c r="B132" s="150" t="str">
        <f>IF('01_Initial Setup'!C12=""," ",IF(B138="GSM 850/1900","Off",IF(B138="GSM 850/1800-1900","Off","On")))</f>
        <v>Off</v>
      </c>
      <c r="C132" s="151" t="s">
        <v>600</v>
      </c>
      <c r="D132" s="111" t="s">
        <v>235</v>
      </c>
      <c r="E132" s="151" t="s">
        <v>236</v>
      </c>
      <c r="F132" s="152" t="s">
        <v>831</v>
      </c>
      <c r="G132" s="114" t="s">
        <v>350</v>
      </c>
      <c r="H132" s="141"/>
      <c r="L132" s="107" t="str">
        <f>IF(B132="On","1",IF(B132="Off","0","null"))</f>
        <v>0</v>
      </c>
    </row>
    <row r="133" spans="1:12" ht="15.75">
      <c r="A133" s="113" t="s">
        <v>667</v>
      </c>
      <c r="B133" s="150" t="str">
        <f>IF(B138="Quad-Band GSM","Quad-Band",IF(B138="GSM 850/1800-1900","Tri-Band (850-1800-1900)",IF(B138="GSM 900/1800-1900","Tri-Band (900-1800-1900)","")))</f>
        <v>Tri-Band (850-1800-1900)</v>
      </c>
      <c r="C133" s="151" t="s">
        <v>600</v>
      </c>
      <c r="D133" s="111" t="s">
        <v>668</v>
      </c>
      <c r="E133" s="151" t="s">
        <v>1073</v>
      </c>
      <c r="F133" s="152" t="s">
        <v>416</v>
      </c>
      <c r="G133" s="114" t="s">
        <v>417</v>
      </c>
      <c r="H133" s="141"/>
      <c r="L133" s="107" t="str">
        <f>CONCATENATE("0x",MID(F133,FIND(B133,F133)-3,2))</f>
        <v>0x0C</v>
      </c>
    </row>
    <row r="134" spans="1:12" ht="15.75">
      <c r="A134" s="116" t="s">
        <v>683</v>
      </c>
      <c r="B134" s="150" t="str">
        <f>'01_Initial Setup'!C16</f>
        <v>850/1900</v>
      </c>
      <c r="C134" s="151" t="s">
        <v>600</v>
      </c>
      <c r="D134" s="132" t="s">
        <v>816</v>
      </c>
      <c r="E134" s="151" t="s">
        <v>1073</v>
      </c>
      <c r="F134" s="130" t="s">
        <v>819</v>
      </c>
      <c r="G134" s="115" t="s">
        <v>1578</v>
      </c>
      <c r="H134" s="141"/>
      <c r="L134" s="107" t="str">
        <f>CONCATENATE("0x",MID(F134,FIND(B134,F134)-3,2))</f>
        <v>0x04</v>
      </c>
    </row>
    <row r="135" spans="1:12" ht="15.75">
      <c r="A135" s="116" t="s">
        <v>708</v>
      </c>
      <c r="B135" s="150" t="str">
        <f>IF('01_Initial Setup'!C12='01_Initial Setup'!U12,"US Band",IF('01_Initial Setup'!C12='01_Initial Setup'!V12,"Euro Band","Automatic"))</f>
        <v>Automatic</v>
      </c>
      <c r="C135" s="151" t="s">
        <v>600</v>
      </c>
      <c r="D135" s="111" t="s">
        <v>709</v>
      </c>
      <c r="E135" s="151" t="s">
        <v>1073</v>
      </c>
      <c r="F135" s="152" t="s">
        <v>710</v>
      </c>
      <c r="G135" s="115" t="s">
        <v>711</v>
      </c>
      <c r="H135" s="141"/>
      <c r="L135" s="107" t="str">
        <f>CONCATENATE("0x",MID(F135,FIND(B135,F135)-3,2))</f>
        <v>0x00</v>
      </c>
    </row>
    <row r="136" spans="1:12" ht="15.75">
      <c r="A136" s="113" t="s">
        <v>712</v>
      </c>
      <c r="B136" s="150" t="str">
        <f>IF('01_Initial Setup'!C12='01_Initial Setup'!V12,"Off",IF('01_Initial Setup'!C12='01_Initial Setup'!U12,"Off","On"))</f>
        <v>On</v>
      </c>
      <c r="C136" s="151" t="s">
        <v>600</v>
      </c>
      <c r="D136" s="111" t="s">
        <v>235</v>
      </c>
      <c r="E136" s="151" t="s">
        <v>236</v>
      </c>
      <c r="F136" s="152" t="s">
        <v>610</v>
      </c>
      <c r="G136" s="114" t="s">
        <v>713</v>
      </c>
      <c r="H136" s="141"/>
      <c r="L136" s="107" t="str">
        <f>IF(B136="On","1",IF(B136="Off","0","null"))</f>
        <v>1</v>
      </c>
    </row>
    <row r="137" spans="1:12" ht="15.75">
      <c r="A137" s="113" t="s">
        <v>714</v>
      </c>
      <c r="B137" s="150" t="str">
        <f>IF('01_Initial Setup'!C12='01_Initial Setup'!V12,"Off",IF('01_Initial Setup'!C12='01_Initial Setup'!U12,"Off","On"))</f>
        <v>On</v>
      </c>
      <c r="C137" s="151" t="s">
        <v>600</v>
      </c>
      <c r="D137" s="111" t="s">
        <v>235</v>
      </c>
      <c r="E137" s="151" t="s">
        <v>236</v>
      </c>
      <c r="F137" s="152" t="s">
        <v>611</v>
      </c>
      <c r="G137" s="114" t="s">
        <v>715</v>
      </c>
      <c r="H137" s="141"/>
      <c r="L137" s="107" t="str">
        <f>IF(B137="On","1",IF(B137="Off","0","null"))</f>
        <v>1</v>
      </c>
    </row>
    <row r="138" spans="1:12" ht="15.75">
      <c r="A138" s="91" t="s">
        <v>1567</v>
      </c>
      <c r="B138" s="143" t="str">
        <f>'01_Initial Setup'!C12</f>
        <v>GSM 850/1800-1900</v>
      </c>
      <c r="C138" s="151" t="s">
        <v>600</v>
      </c>
      <c r="D138" s="111" t="s">
        <v>797</v>
      </c>
      <c r="E138" s="151" t="s">
        <v>596</v>
      </c>
      <c r="F138" s="130" t="s">
        <v>96</v>
      </c>
      <c r="G138" s="134" t="s">
        <v>1568</v>
      </c>
      <c r="H138" s="141"/>
      <c r="L138" s="107" t="str">
        <f>B138</f>
        <v>GSM 850/1800-1900</v>
      </c>
    </row>
    <row r="139" spans="1:8" ht="15.75">
      <c r="A139" s="144" t="s">
        <v>587</v>
      </c>
      <c r="B139" s="163" t="s">
        <v>36</v>
      </c>
      <c r="C139" s="153"/>
      <c r="D139" s="154"/>
      <c r="E139" s="153"/>
      <c r="F139" s="164"/>
      <c r="G139" s="155"/>
      <c r="H139" s="155"/>
    </row>
    <row r="140" spans="1:8" ht="15.75">
      <c r="A140" s="182" t="s">
        <v>587</v>
      </c>
      <c r="B140" s="179" t="s">
        <v>22</v>
      </c>
      <c r="C140" s="183"/>
      <c r="D140" s="184"/>
      <c r="E140" s="183" t="s">
        <v>1573</v>
      </c>
      <c r="F140" s="168" t="s">
        <v>1204</v>
      </c>
      <c r="G140" s="141"/>
      <c r="H140" s="141"/>
    </row>
    <row r="141" spans="1:8" ht="15.75">
      <c r="A141" s="165" t="s">
        <v>784</v>
      </c>
      <c r="B141" s="150" t="str">
        <f>IF('07_GSM_WAP Profiles'!D3="","No",'07_GSM_WAP Profiles'!D3)</f>
        <v>Yes</v>
      </c>
      <c r="C141" s="151" t="s">
        <v>600</v>
      </c>
      <c r="D141" s="132" t="s">
        <v>910</v>
      </c>
      <c r="E141" s="131" t="s">
        <v>1073</v>
      </c>
      <c r="F141" s="130" t="s">
        <v>912</v>
      </c>
      <c r="G141" s="141" t="s">
        <v>733</v>
      </c>
      <c r="H141" s="141"/>
    </row>
    <row r="142" spans="1:8" ht="15.75">
      <c r="A142" s="165" t="s">
        <v>1269</v>
      </c>
      <c r="B142" s="150" t="str">
        <f>IF('07_GSM_WAP Profiles'!D4="","Read and Write",IF('07_GSM_WAP Profiles'!D4="RW","Read and Write",IF('07_GSM_WAP Profiles'!D4="R","Read Only",'07_GSM_WAP Profiles'!D4)))</f>
        <v>Read and Write</v>
      </c>
      <c r="C142" s="151"/>
      <c r="D142" s="157"/>
      <c r="E142" s="131" t="s">
        <v>607</v>
      </c>
      <c r="F142" s="165" t="s">
        <v>543</v>
      </c>
      <c r="G142" s="141"/>
      <c r="H142" s="141"/>
    </row>
    <row r="143" spans="1:8" ht="15.75">
      <c r="A143" s="165" t="s">
        <v>23</v>
      </c>
      <c r="B143" s="150" t="str">
        <f>IF('07_GSM_WAP Profiles'!D5="","None Entered",'07_GSM_WAP Profiles'!D5)</f>
        <v>Emocion</v>
      </c>
      <c r="C143" s="151"/>
      <c r="D143" s="157"/>
      <c r="E143" s="131" t="s">
        <v>607</v>
      </c>
      <c r="F143" s="165" t="s">
        <v>544</v>
      </c>
      <c r="G143" s="141"/>
      <c r="H143" s="141"/>
    </row>
    <row r="144" spans="1:8" ht="15.75">
      <c r="A144" s="165" t="s">
        <v>1270</v>
      </c>
      <c r="B144" s="150" t="str">
        <f>IF($B$143="None Entered","None Entered",IF('07_GSM_WAP Profiles'!D6="","None Entered",'07_GSM_WAP Profiles'!D6))</f>
        <v>http://interactivo.telcel.net.ve/</v>
      </c>
      <c r="C144" s="151"/>
      <c r="D144" s="157"/>
      <c r="E144" s="131" t="s">
        <v>607</v>
      </c>
      <c r="F144" s="165" t="s">
        <v>545</v>
      </c>
      <c r="G144" s="141"/>
      <c r="H144" s="141"/>
    </row>
    <row r="145" spans="1:8" ht="15.75">
      <c r="A145" s="165" t="s">
        <v>1271</v>
      </c>
      <c r="B145" s="150" t="str">
        <f>IF($B$143="None Entered","None Entered",IF('07_GSM_WAP Profiles'!D7="","None Entered",'07_GSM_WAP Profiles'!D7))</f>
        <v>200.035.064.073</v>
      </c>
      <c r="C145" s="151"/>
      <c r="D145" s="157"/>
      <c r="E145" s="131" t="s">
        <v>607</v>
      </c>
      <c r="F145" s="165" t="s">
        <v>546</v>
      </c>
      <c r="G145" s="141"/>
      <c r="H145" s="141"/>
    </row>
    <row r="146" spans="1:8" ht="15.75">
      <c r="A146" s="165" t="s">
        <v>1272</v>
      </c>
      <c r="B146" s="150">
        <f>IF($B$143="None Entered","None Entered",IF('07_GSM_WAP Profiles'!D8="","None Entered",'07_GSM_WAP Profiles'!D8))</f>
        <v>9001</v>
      </c>
      <c r="C146" s="151"/>
      <c r="D146" s="157"/>
      <c r="E146" s="131" t="s">
        <v>607</v>
      </c>
      <c r="F146" s="165" t="s">
        <v>547</v>
      </c>
      <c r="G146" s="141"/>
      <c r="H146" s="141"/>
    </row>
    <row r="147" spans="1:8" ht="15.75">
      <c r="A147" s="165" t="s">
        <v>1273</v>
      </c>
      <c r="B147" s="150" t="str">
        <f>IF($B$143="None Entered","None Entered",IF('07_GSM_WAP Profiles'!D9="","None Entered",'07_GSM_WAP Profiles'!D9))</f>
        <v>None Entered</v>
      </c>
      <c r="C147" s="151"/>
      <c r="D147" s="157"/>
      <c r="E147" s="131" t="s">
        <v>607</v>
      </c>
      <c r="F147" s="165" t="s">
        <v>548</v>
      </c>
      <c r="G147" s="141"/>
      <c r="H147" s="141"/>
    </row>
    <row r="148" spans="1:8" ht="15.75">
      <c r="A148" s="165" t="s">
        <v>1274</v>
      </c>
      <c r="B148" s="150" t="str">
        <f>IF($B$143="None Entered","None Entered",IF('07_GSM_WAP Profiles'!D10="","None Entered",'07_GSM_WAP Profiles'!D10))</f>
        <v>HTTP</v>
      </c>
      <c r="C148" s="151"/>
      <c r="D148" s="157"/>
      <c r="E148" s="131" t="s">
        <v>607</v>
      </c>
      <c r="F148" s="165" t="s">
        <v>549</v>
      </c>
      <c r="G148" s="141"/>
      <c r="H148" s="141"/>
    </row>
    <row r="149" spans="1:8" ht="15.75">
      <c r="A149" s="165" t="s">
        <v>1275</v>
      </c>
      <c r="B149" s="150" t="str">
        <f>IF($B$143="None Entered","None Entered",IF('07_GSM_WAP Profiles'!D11="","None Entered",'07_GSM_WAP Profiles'!D11))</f>
        <v>None Entered</v>
      </c>
      <c r="C149" s="151"/>
      <c r="D149" s="157"/>
      <c r="E149" s="131" t="s">
        <v>607</v>
      </c>
      <c r="F149" s="165" t="s">
        <v>550</v>
      </c>
      <c r="G149" s="141"/>
      <c r="H149" s="141"/>
    </row>
    <row r="150" spans="1:8" ht="15.75">
      <c r="A150" s="165" t="s">
        <v>1276</v>
      </c>
      <c r="B150" s="150">
        <f>IF($B$143="None Entered","None Entered",IF('07_GSM_WAP Profiles'!D12="","None Entered",'07_GSM_WAP Profiles'!D12))</f>
        <v>9001</v>
      </c>
      <c r="C150" s="151"/>
      <c r="D150" s="157"/>
      <c r="E150" s="131" t="s">
        <v>607</v>
      </c>
      <c r="F150" s="165" t="s">
        <v>551</v>
      </c>
      <c r="G150" s="141"/>
      <c r="H150" s="141"/>
    </row>
    <row r="151" spans="1:8" ht="15.75">
      <c r="A151" s="165" t="s">
        <v>1277</v>
      </c>
      <c r="B151" s="150" t="str">
        <f>IF($B$143="None Entered","None Entered",IF('07_GSM_WAP Profiles'!D13="","None Entered",'07_GSM_WAP Profiles'!D13))</f>
        <v>None Entered</v>
      </c>
      <c r="C151" s="151"/>
      <c r="D151" s="157"/>
      <c r="E151" s="131" t="s">
        <v>607</v>
      </c>
      <c r="F151" s="165" t="s">
        <v>552</v>
      </c>
      <c r="G151" s="141"/>
      <c r="H151" s="141"/>
    </row>
    <row r="152" spans="1:8" ht="15.75">
      <c r="A152" s="165" t="s">
        <v>1278</v>
      </c>
      <c r="B152" s="150" t="str">
        <f>IF($B$143="None Entered","None Entered",IF('07_GSM_WAP Profiles'!D14="","None Entered",'07_GSM_WAP Profiles'!D14))</f>
        <v>WAP</v>
      </c>
      <c r="C152" s="151"/>
      <c r="D152" s="157"/>
      <c r="E152" s="131" t="s">
        <v>607</v>
      </c>
      <c r="F152" s="165" t="s">
        <v>553</v>
      </c>
      <c r="G152" s="141"/>
      <c r="H152" s="141"/>
    </row>
    <row r="153" spans="1:8" ht="15.75">
      <c r="A153" s="165" t="s">
        <v>1279</v>
      </c>
      <c r="B153" s="150" t="str">
        <f>IF($B$143="None Entered","None Entered",IF('07_GSM_WAP Profiles'!D15="","None Entered",'07_GSM_WAP Profiles'!D15))</f>
        <v>None Entered</v>
      </c>
      <c r="C153" s="151"/>
      <c r="D153" s="157"/>
      <c r="E153" s="131" t="s">
        <v>607</v>
      </c>
      <c r="F153" s="165" t="s">
        <v>554</v>
      </c>
      <c r="G153" s="141"/>
      <c r="H153" s="141"/>
    </row>
    <row r="154" spans="1:8" ht="15.75">
      <c r="A154" s="165" t="s">
        <v>1280</v>
      </c>
      <c r="B154" s="150" t="str">
        <f>IF($B$143="None Entered","None Entered",IF('07_GSM_WAP Profiles'!D16="","None Entered",'07_GSM_WAP Profiles'!D16))</f>
        <v>None Entered</v>
      </c>
      <c r="C154" s="151"/>
      <c r="D154" s="157"/>
      <c r="E154" s="131" t="s">
        <v>607</v>
      </c>
      <c r="F154" s="165" t="s">
        <v>555</v>
      </c>
      <c r="G154" s="141"/>
      <c r="H154" s="141"/>
    </row>
    <row r="155" spans="1:8" ht="15.75">
      <c r="A155" s="165" t="s">
        <v>684</v>
      </c>
      <c r="B155" s="150" t="str">
        <f>IF($B$143="None Entered","None Entered",IF('07_GSM_WAP Profiles'!D17="","None Entered",CONCATENATE('07_GSM_WAP Profiles'!D17/60," Minutes")))</f>
        <v>2 Minutes</v>
      </c>
      <c r="C155" s="151"/>
      <c r="D155" s="157"/>
      <c r="E155" s="131" t="s">
        <v>607</v>
      </c>
      <c r="F155" s="165" t="s">
        <v>685</v>
      </c>
      <c r="G155" s="141"/>
      <c r="H155" s="141"/>
    </row>
    <row r="156" spans="1:8" ht="15.75">
      <c r="A156" s="165" t="s">
        <v>1281</v>
      </c>
      <c r="B156" s="150" t="str">
        <f>IF($B$143="None Entered","None Entered",IF('07_GSM_WAP Profiles'!D18="","None Entered",'07_GSM_WAP Profiles'!D18))</f>
        <v>None Entered</v>
      </c>
      <c r="C156" s="151"/>
      <c r="D156" s="157"/>
      <c r="E156" s="131" t="s">
        <v>607</v>
      </c>
      <c r="F156" s="165" t="s">
        <v>556</v>
      </c>
      <c r="G156" s="141"/>
      <c r="H156" s="141"/>
    </row>
    <row r="157" spans="1:8" ht="15.75">
      <c r="A157" s="165" t="s">
        <v>686</v>
      </c>
      <c r="B157" s="150" t="str">
        <f>IF($B$143="None Entered","None Entered",IF('07_GSM_WAP Profiles'!D19="","None Entered",'07_GSM_WAP Profiles'!D19))</f>
        <v>None Entered</v>
      </c>
      <c r="C157" s="151"/>
      <c r="D157" s="157"/>
      <c r="E157" s="131" t="s">
        <v>607</v>
      </c>
      <c r="F157" s="165" t="s">
        <v>734</v>
      </c>
      <c r="G157" s="141"/>
      <c r="H157" s="141"/>
    </row>
    <row r="158" spans="1:8" ht="15.75">
      <c r="A158" s="165" t="s">
        <v>735</v>
      </c>
      <c r="B158" s="150" t="str">
        <f>IF($B$143="None Entered","None Entered",IF('07_GSM_WAP Profiles'!D20="","None Entered",'07_GSM_WAP Profiles'!D20))</f>
        <v>None Entered</v>
      </c>
      <c r="C158" s="151"/>
      <c r="D158" s="157"/>
      <c r="E158" s="131" t="s">
        <v>607</v>
      </c>
      <c r="F158" s="165" t="s">
        <v>736</v>
      </c>
      <c r="G158" s="141"/>
      <c r="H158" s="141"/>
    </row>
    <row r="159" spans="1:8" ht="15.75">
      <c r="A159" s="165" t="s">
        <v>737</v>
      </c>
      <c r="B159" s="150" t="str">
        <f>IF(B143="None Entered","None Entered",IF('07_GSM_WAP Profiles'!D21="","None Entered",IF('07_GSM_WAP Profiles'!D21=9600,"9600 Baud Rate",IF('07_GSM_WAP Profiles'!D21=14400,"14400 Baud Rate",'07_GSM_WAP Profiles'!D21))))</f>
        <v>9600 Baud Rate</v>
      </c>
      <c r="C159" s="151"/>
      <c r="D159" s="157"/>
      <c r="E159" s="131" t="s">
        <v>607</v>
      </c>
      <c r="F159" s="165" t="s">
        <v>738</v>
      </c>
      <c r="G159" s="141"/>
      <c r="H159" s="141"/>
    </row>
    <row r="160" spans="1:8" ht="15.75">
      <c r="A160" s="165" t="s">
        <v>739</v>
      </c>
      <c r="B160" s="150" t="str">
        <f>IF($B$143="None Entered","None Entered",IF('07_GSM_WAP Profiles'!D22="","None Entered",'07_GSM_WAP Profiles'!D22))</f>
        <v>ISDN</v>
      </c>
      <c r="C160" s="151"/>
      <c r="D160" s="157"/>
      <c r="E160" s="131" t="s">
        <v>607</v>
      </c>
      <c r="F160" s="165" t="s">
        <v>740</v>
      </c>
      <c r="G160" s="141"/>
      <c r="H160" s="141"/>
    </row>
    <row r="161" spans="1:8" s="110" customFormat="1" ht="15.75">
      <c r="A161" s="165" t="s">
        <v>1282</v>
      </c>
      <c r="B161" s="150" t="str">
        <f>IF($B$143="None Entered","None Entered",IF('07_GSM_WAP Profiles'!D23="","None Entered",'07_GSM_WAP Profiles'!D23))</f>
        <v>None Entered</v>
      </c>
      <c r="C161" s="166"/>
      <c r="D161" s="167"/>
      <c r="E161" s="131" t="s">
        <v>607</v>
      </c>
      <c r="F161" s="165" t="s">
        <v>557</v>
      </c>
      <c r="G161" s="149"/>
      <c r="H161" s="149"/>
    </row>
    <row r="162" spans="1:8" ht="15.75">
      <c r="A162" s="165" t="s">
        <v>741</v>
      </c>
      <c r="B162" s="150" t="str">
        <f>IF($B$143="None Entered","None Entered",IF('07_GSM_WAP Profiles'!D24="","None Entered",'07_GSM_WAP Profiles'!D24))</f>
        <v>None Entered</v>
      </c>
      <c r="C162" s="151"/>
      <c r="D162" s="157"/>
      <c r="E162" s="131" t="s">
        <v>607</v>
      </c>
      <c r="F162" s="165" t="s">
        <v>743</v>
      </c>
      <c r="G162" s="141"/>
      <c r="H162" s="141"/>
    </row>
    <row r="163" spans="1:8" ht="15.75">
      <c r="A163" s="165" t="s">
        <v>476</v>
      </c>
      <c r="B163" s="150" t="str">
        <f>IF($B$143="None Entered","None Entered",IF('07_GSM_WAP Profiles'!D25="","None Entered",'07_GSM_WAP Profiles'!D25))</f>
        <v>None Entered</v>
      </c>
      <c r="C163" s="151"/>
      <c r="D163" s="157"/>
      <c r="E163" s="131" t="s">
        <v>607</v>
      </c>
      <c r="F163" s="165" t="s">
        <v>477</v>
      </c>
      <c r="G163" s="141"/>
      <c r="H163" s="141"/>
    </row>
    <row r="164" spans="1:8" ht="15.75">
      <c r="A164" s="165" t="s">
        <v>478</v>
      </c>
      <c r="B164" s="150" t="str">
        <f>IF(B143="None Entered","None Entered",IF('07_GSM_WAP Profiles'!D26="","None Entered",IF('07_GSM_WAP Profiles'!D26=9600,"9600 Baud Rate",IF('07_GSM_WAP Profiles'!D26=14400,"14400 Baud Rate",'07_GSM_WAP Profiles'!D26))))</f>
        <v>9600 Baud Rate</v>
      </c>
      <c r="C164" s="151"/>
      <c r="D164" s="157"/>
      <c r="E164" s="131" t="s">
        <v>607</v>
      </c>
      <c r="F164" s="165" t="s">
        <v>479</v>
      </c>
      <c r="G164" s="141"/>
      <c r="H164" s="141"/>
    </row>
    <row r="165" spans="1:8" ht="15.75">
      <c r="A165" s="165" t="s">
        <v>480</v>
      </c>
      <c r="B165" s="150" t="str">
        <f>IF($B$143="None Entered","None Entered",IF('07_GSM_WAP Profiles'!D27="","None Entered",'07_GSM_WAP Profiles'!D27))</f>
        <v>ISDN</v>
      </c>
      <c r="C165" s="151"/>
      <c r="D165" s="157"/>
      <c r="E165" s="131" t="s">
        <v>607</v>
      </c>
      <c r="F165" s="165" t="s">
        <v>481</v>
      </c>
      <c r="G165" s="141"/>
      <c r="H165" s="141"/>
    </row>
    <row r="166" spans="1:8" ht="15.75">
      <c r="A166" s="165" t="s">
        <v>482</v>
      </c>
      <c r="B166" s="150" t="str">
        <f>IF($B$143="None Entered","None Entered",IF('07_GSM_WAP Profiles'!D28="","None Entered",'07_GSM_WAP Profiles'!D28))</f>
        <v>wap.movistar.ve</v>
      </c>
      <c r="C166" s="151"/>
      <c r="D166" s="157"/>
      <c r="E166" s="131" t="s">
        <v>607</v>
      </c>
      <c r="F166" s="165" t="s">
        <v>483</v>
      </c>
      <c r="G166" s="141"/>
      <c r="H166" s="141"/>
    </row>
    <row r="167" spans="1:8" ht="15.75">
      <c r="A167" s="165" t="s">
        <v>484</v>
      </c>
      <c r="B167" s="150" t="str">
        <f>IF($B$143="None Entered","None Entered",IF('07_GSM_WAP Profiles'!D29="","None Entered",'07_GSM_WAP Profiles'!D29))</f>
        <v>None Entered</v>
      </c>
      <c r="C167" s="151"/>
      <c r="D167" s="157"/>
      <c r="E167" s="131" t="s">
        <v>607</v>
      </c>
      <c r="F167" s="165" t="s">
        <v>485</v>
      </c>
      <c r="G167" s="141"/>
      <c r="H167" s="141"/>
    </row>
    <row r="168" spans="1:8" ht="15.75">
      <c r="A168" s="165" t="s">
        <v>486</v>
      </c>
      <c r="B168" s="150" t="str">
        <f>IF($B$143="None Entered","None Entered",IF('07_GSM_WAP Profiles'!D30="","None Entered",'07_GSM_WAP Profiles'!D30))</f>
        <v>None Entered</v>
      </c>
      <c r="C168" s="151"/>
      <c r="D168" s="157"/>
      <c r="E168" s="131" t="s">
        <v>607</v>
      </c>
      <c r="F168" s="165" t="s">
        <v>1148</v>
      </c>
      <c r="G168" s="141"/>
      <c r="H168" s="141"/>
    </row>
    <row r="169" spans="1:8" ht="15.75">
      <c r="A169" s="182" t="s">
        <v>587</v>
      </c>
      <c r="B169" s="179" t="s">
        <v>1149</v>
      </c>
      <c r="C169" s="180"/>
      <c r="D169" s="181"/>
      <c r="E169" s="138"/>
      <c r="F169" s="185"/>
      <c r="G169" s="141"/>
      <c r="H169" s="141"/>
    </row>
    <row r="170" spans="1:8" ht="15.75">
      <c r="A170" s="165" t="s">
        <v>785</v>
      </c>
      <c r="B170" s="176" t="str">
        <f>IF('07_GSM_WAP Profiles'!E3="","No",'07_GSM_WAP Profiles'!E3)</f>
        <v>No</v>
      </c>
      <c r="C170" s="151" t="s">
        <v>600</v>
      </c>
      <c r="D170" s="132" t="s">
        <v>910</v>
      </c>
      <c r="E170" s="131" t="s">
        <v>1073</v>
      </c>
      <c r="F170" s="130" t="s">
        <v>650</v>
      </c>
      <c r="G170" s="141"/>
      <c r="H170" s="141"/>
    </row>
    <row r="171" spans="1:8" ht="15.75">
      <c r="A171" s="165" t="s">
        <v>1283</v>
      </c>
      <c r="B171" s="150" t="str">
        <f>IF('07_GSM_WAP Profiles'!E4="","Read and Write",IF('07_GSM_WAP Profiles'!E4="RW","Read and Write",IF('07_GSM_WAP Profiles'!E4="R","Read Only",'07_GSM_WAP Profiles'!E4)))</f>
        <v>Read and Write</v>
      </c>
      <c r="C171" s="151"/>
      <c r="D171" s="157"/>
      <c r="E171" s="131" t="s">
        <v>607</v>
      </c>
      <c r="F171" s="165" t="s">
        <v>558</v>
      </c>
      <c r="G171" s="141"/>
      <c r="H171" s="141"/>
    </row>
    <row r="172" spans="1:8" ht="15.75">
      <c r="A172" s="165" t="s">
        <v>1150</v>
      </c>
      <c r="B172" s="150" t="str">
        <f>IF('07_GSM_WAP Profiles'!E5="","None Entered",'07_GSM_WAP Profiles'!E5)</f>
        <v>Internet Movil</v>
      </c>
      <c r="C172" s="151"/>
      <c r="D172" s="157"/>
      <c r="E172" s="131" t="s">
        <v>607</v>
      </c>
      <c r="F172" s="165" t="s">
        <v>1151</v>
      </c>
      <c r="G172" s="141"/>
      <c r="H172" s="141"/>
    </row>
    <row r="173" spans="1:8" ht="15.75">
      <c r="A173" s="165" t="s">
        <v>1284</v>
      </c>
      <c r="B173" s="150" t="str">
        <f>IF($B$172="None Entered","None Entered",IF('07_GSM_WAP Profiles'!E6="","None Entered",'07_GSM_WAP Profiles'!E6))</f>
        <v>None Entered</v>
      </c>
      <c r="C173" s="151"/>
      <c r="D173" s="157"/>
      <c r="E173" s="131" t="s">
        <v>607</v>
      </c>
      <c r="F173" s="165" t="s">
        <v>559</v>
      </c>
      <c r="G173" s="141"/>
      <c r="H173" s="141"/>
    </row>
    <row r="174" spans="1:8" ht="15.75">
      <c r="A174" s="165" t="s">
        <v>1285</v>
      </c>
      <c r="B174" s="150" t="str">
        <f>IF($B$172="None Entered","None Entered",IF('07_GSM_WAP Profiles'!E7="","None Entered",'07_GSM_WAP Profiles'!E7))</f>
        <v>None Entered</v>
      </c>
      <c r="C174" s="151"/>
      <c r="D174" s="157"/>
      <c r="E174" s="131" t="s">
        <v>607</v>
      </c>
      <c r="F174" s="165" t="s">
        <v>560</v>
      </c>
      <c r="G174" s="141"/>
      <c r="H174" s="141"/>
    </row>
    <row r="175" spans="1:8" ht="15.75">
      <c r="A175" s="165" t="s">
        <v>1286</v>
      </c>
      <c r="B175" s="150" t="str">
        <f>IF($B$172="None Entered","None Entered",IF('07_GSM_WAP Profiles'!E8="","None Entered",'07_GSM_WAP Profiles'!E8))</f>
        <v>None Entered</v>
      </c>
      <c r="C175" s="151"/>
      <c r="D175" s="157"/>
      <c r="E175" s="131" t="s">
        <v>607</v>
      </c>
      <c r="F175" s="165" t="s">
        <v>561</v>
      </c>
      <c r="G175" s="141"/>
      <c r="H175" s="141"/>
    </row>
    <row r="176" spans="1:8" ht="15.75">
      <c r="A176" s="165" t="s">
        <v>1287</v>
      </c>
      <c r="B176" s="150" t="str">
        <f>IF($B$172="None Entered","None Entered",IF('07_GSM_WAP Profiles'!E9="","None Entered",'07_GSM_WAP Profiles'!E9))</f>
        <v>None Entered</v>
      </c>
      <c r="C176" s="151"/>
      <c r="D176" s="157"/>
      <c r="E176" s="131" t="s">
        <v>607</v>
      </c>
      <c r="F176" s="165" t="s">
        <v>562</v>
      </c>
      <c r="G176" s="141"/>
      <c r="H176" s="141"/>
    </row>
    <row r="177" spans="1:8" ht="15.75">
      <c r="A177" s="165" t="s">
        <v>1288</v>
      </c>
      <c r="B177" s="150" t="str">
        <f>IF($B$172="None Entered","None Entered",IF('07_GSM_WAP Profiles'!E10="","None Entered",'07_GSM_WAP Profiles'!E10))</f>
        <v>HTTP</v>
      </c>
      <c r="C177" s="151"/>
      <c r="D177" s="157"/>
      <c r="E177" s="131" t="s">
        <v>607</v>
      </c>
      <c r="F177" s="165" t="s">
        <v>563</v>
      </c>
      <c r="G177" s="141"/>
      <c r="H177" s="141"/>
    </row>
    <row r="178" spans="1:8" ht="15.75">
      <c r="A178" s="165" t="s">
        <v>1289</v>
      </c>
      <c r="B178" s="150" t="str">
        <f>IF($B$172="None Entered","None Entered",IF('07_GSM_WAP Profiles'!E11="","None Entered",'07_GSM_WAP Profiles'!E11))</f>
        <v>None Entered</v>
      </c>
      <c r="C178" s="151"/>
      <c r="D178" s="157"/>
      <c r="E178" s="131" t="s">
        <v>607</v>
      </c>
      <c r="F178" s="165" t="s">
        <v>143</v>
      </c>
      <c r="G178" s="141"/>
      <c r="H178" s="141"/>
    </row>
    <row r="179" spans="1:8" ht="15.75">
      <c r="A179" s="165" t="s">
        <v>1290</v>
      </c>
      <c r="B179" s="150" t="str">
        <f>IF($B$172="None Entered","None Entered",IF('07_GSM_WAP Profiles'!E12="","None Entered",'07_GSM_WAP Profiles'!E12))</f>
        <v>None Entered</v>
      </c>
      <c r="C179" s="151"/>
      <c r="D179" s="157"/>
      <c r="E179" s="131" t="s">
        <v>607</v>
      </c>
      <c r="F179" s="165" t="s">
        <v>144</v>
      </c>
      <c r="G179" s="141"/>
      <c r="H179" s="141"/>
    </row>
    <row r="180" spans="1:8" ht="15.75">
      <c r="A180" s="165" t="s">
        <v>1291</v>
      </c>
      <c r="B180" s="150" t="str">
        <f>IF($B$172="None Entered","None Entered",IF('07_GSM_WAP Profiles'!E13="","None Entered",'07_GSM_WAP Profiles'!E13))</f>
        <v>None Entered</v>
      </c>
      <c r="C180" s="151"/>
      <c r="D180" s="157"/>
      <c r="E180" s="131" t="s">
        <v>607</v>
      </c>
      <c r="F180" s="165" t="s">
        <v>145</v>
      </c>
      <c r="G180" s="141"/>
      <c r="H180" s="141"/>
    </row>
    <row r="181" spans="1:8" ht="15.75">
      <c r="A181" s="165" t="s">
        <v>1292</v>
      </c>
      <c r="B181" s="150" t="str">
        <f>IF($B$172="None Entered","None Entered",IF('07_GSM_WAP Profiles'!E14="","None Entered",'07_GSM_WAP Profiles'!E14))</f>
        <v>WAP</v>
      </c>
      <c r="C181" s="151"/>
      <c r="D181" s="157"/>
      <c r="E181" s="131" t="s">
        <v>607</v>
      </c>
      <c r="F181" s="165" t="s">
        <v>146</v>
      </c>
      <c r="G181" s="141"/>
      <c r="H181" s="141"/>
    </row>
    <row r="182" spans="1:8" ht="15.75">
      <c r="A182" s="165" t="s">
        <v>1293</v>
      </c>
      <c r="B182" s="150" t="str">
        <f>IF($B$172="None Entered","None Entered",IF('07_GSM_WAP Profiles'!E15="","None Entered",'07_GSM_WAP Profiles'!E15))</f>
        <v>200.035.065.003</v>
      </c>
      <c r="C182" s="151"/>
      <c r="D182" s="157"/>
      <c r="E182" s="131" t="s">
        <v>607</v>
      </c>
      <c r="F182" s="165" t="s">
        <v>147</v>
      </c>
      <c r="G182" s="141"/>
      <c r="H182" s="141"/>
    </row>
    <row r="183" spans="1:8" ht="15.75">
      <c r="A183" s="165" t="s">
        <v>1294</v>
      </c>
      <c r="B183" s="150" t="str">
        <f>IF($B$172="None Entered","None Entered",IF('07_GSM_WAP Profiles'!E16="","None Entered",'07_GSM_WAP Profiles'!E16))</f>
        <v>200.035.065.004</v>
      </c>
      <c r="C183" s="151"/>
      <c r="D183" s="157"/>
      <c r="E183" s="131" t="s">
        <v>607</v>
      </c>
      <c r="F183" s="165" t="s">
        <v>148</v>
      </c>
      <c r="G183" s="141"/>
      <c r="H183" s="141"/>
    </row>
    <row r="184" spans="1:8" ht="15.75">
      <c r="A184" s="165" t="s">
        <v>1152</v>
      </c>
      <c r="B184" s="150" t="str">
        <f>IF($B$172="None Entered","None Entered",IF('07_GSM_WAP Profiles'!E17="","None Entered",CONCATENATE('07_GSM_WAP Profiles'!E17/60," Minutes")))</f>
        <v>2 Minutes</v>
      </c>
      <c r="C184" s="151"/>
      <c r="D184" s="157"/>
      <c r="E184" s="131" t="s">
        <v>607</v>
      </c>
      <c r="F184" s="165" t="s">
        <v>1153</v>
      </c>
      <c r="G184" s="141"/>
      <c r="H184" s="141"/>
    </row>
    <row r="185" spans="1:8" ht="15.75">
      <c r="A185" s="165" t="s">
        <v>1295</v>
      </c>
      <c r="B185" s="150" t="str">
        <f>IF($B$172="None Entered","None Entered",IF('07_GSM_WAP Profiles'!E18="","None Entered",'07_GSM_WAP Profiles'!E18))</f>
        <v>None Entered</v>
      </c>
      <c r="C185" s="151"/>
      <c r="D185" s="157"/>
      <c r="E185" s="131" t="s">
        <v>607</v>
      </c>
      <c r="F185" s="165" t="s">
        <v>149</v>
      </c>
      <c r="G185" s="141"/>
      <c r="H185" s="141"/>
    </row>
    <row r="186" spans="1:8" ht="15.75">
      <c r="A186" s="165" t="s">
        <v>1155</v>
      </c>
      <c r="B186" s="150" t="str">
        <f>IF($B$172="None Entered","None Entered",IF('07_GSM_WAP Profiles'!E19="","None Entered",'07_GSM_WAP Profiles'!E19))</f>
        <v>None Entered</v>
      </c>
      <c r="C186" s="151"/>
      <c r="D186" s="157"/>
      <c r="E186" s="131" t="s">
        <v>607</v>
      </c>
      <c r="F186" s="165" t="s">
        <v>1431</v>
      </c>
      <c r="G186" s="141"/>
      <c r="H186" s="141"/>
    </row>
    <row r="187" spans="1:8" ht="15.75">
      <c r="A187" s="165" t="s">
        <v>1432</v>
      </c>
      <c r="B187" s="150" t="str">
        <f>IF($B$172="None Entered","None Entered",IF('07_GSM_WAP Profiles'!E20="","None Entered",'07_GSM_WAP Profiles'!E20))</f>
        <v>None Entered</v>
      </c>
      <c r="C187" s="151"/>
      <c r="D187" s="157"/>
      <c r="E187" s="131" t="s">
        <v>607</v>
      </c>
      <c r="F187" s="165" t="s">
        <v>1433</v>
      </c>
      <c r="G187" s="141"/>
      <c r="H187" s="141"/>
    </row>
    <row r="188" spans="1:8" ht="15.75">
      <c r="A188" s="165" t="s">
        <v>1434</v>
      </c>
      <c r="B188" s="150" t="str">
        <f>IF($B$172="None Entered","None Entered",IF('07_GSM_WAP Profiles'!E21="","None Entered",IF('07_GSM_WAP Profiles'!E21=9600,"9600 Baud Rate",IF('07_GSM_WAP Profiles'!E21=14400,"14400 Baud Rate",'07_GSM_WAP Profiles'!E21))))</f>
        <v>9600 Baud Rate</v>
      </c>
      <c r="C188" s="151"/>
      <c r="D188" s="157"/>
      <c r="E188" s="131" t="s">
        <v>607</v>
      </c>
      <c r="F188" s="165" t="s">
        <v>1435</v>
      </c>
      <c r="G188" s="141"/>
      <c r="H188" s="141"/>
    </row>
    <row r="189" spans="1:8" ht="15.75">
      <c r="A189" s="165" t="s">
        <v>1436</v>
      </c>
      <c r="B189" s="150" t="str">
        <f>IF($B$172="None Entered","None Entered",IF('07_GSM_WAP Profiles'!E22="","None Entered",'07_GSM_WAP Profiles'!E22))</f>
        <v>ISDN</v>
      </c>
      <c r="C189" s="151"/>
      <c r="D189" s="157"/>
      <c r="E189" s="131" t="s">
        <v>607</v>
      </c>
      <c r="F189" s="165" t="s">
        <v>1437</v>
      </c>
      <c r="G189" s="141"/>
      <c r="H189" s="141"/>
    </row>
    <row r="190" spans="1:8" s="110" customFormat="1" ht="15.75">
      <c r="A190" s="165" t="s">
        <v>1296</v>
      </c>
      <c r="B190" s="150" t="str">
        <f>IF($B$172="None Entered","None Entered",IF('07_GSM_WAP Profiles'!E23="","None Entered",'07_GSM_WAP Profiles'!E23))</f>
        <v>None Entered</v>
      </c>
      <c r="C190" s="151"/>
      <c r="D190" s="167"/>
      <c r="E190" s="131" t="s">
        <v>607</v>
      </c>
      <c r="F190" s="165" t="s">
        <v>150</v>
      </c>
      <c r="G190" s="149"/>
      <c r="H190" s="149"/>
    </row>
    <row r="191" spans="1:8" ht="15.75">
      <c r="A191" s="165" t="s">
        <v>1438</v>
      </c>
      <c r="B191" s="150" t="str">
        <f>IF($B$172="None Entered","None Entered",IF('07_GSM_WAP Profiles'!E24="","None Entered",'07_GSM_WAP Profiles'!E24))</f>
        <v>None Entered</v>
      </c>
      <c r="C191" s="151"/>
      <c r="D191" s="157"/>
      <c r="E191" s="131" t="s">
        <v>607</v>
      </c>
      <c r="F191" s="165" t="s">
        <v>1439</v>
      </c>
      <c r="G191" s="141"/>
      <c r="H191" s="141"/>
    </row>
    <row r="192" spans="1:8" ht="15.75">
      <c r="A192" s="165" t="s">
        <v>1440</v>
      </c>
      <c r="B192" s="150" t="str">
        <f>IF($B$172="None Entered","None Entered",IF('07_GSM_WAP Profiles'!E25="","None Entered",'07_GSM_WAP Profiles'!E25))</f>
        <v>None Entered</v>
      </c>
      <c r="C192" s="151"/>
      <c r="D192" s="157"/>
      <c r="E192" s="131" t="s">
        <v>607</v>
      </c>
      <c r="F192" s="165" t="s">
        <v>1441</v>
      </c>
      <c r="G192" s="141"/>
      <c r="H192" s="141"/>
    </row>
    <row r="193" spans="1:8" ht="15.75">
      <c r="A193" s="165" t="s">
        <v>1442</v>
      </c>
      <c r="B193" s="150" t="str">
        <f>IF($B$172="None Entered","None Entered",IF('07_GSM_WAP Profiles'!E26="","None Entered",IF('07_GSM_WAP Profiles'!E26=9600,"9600 Baud Rate",IF('07_GSM_WAP Profiles'!E26=14400,"14400 Baud Rate",'07_GSM_WAP Profiles'!E26))))</f>
        <v>9600 Baud Rate</v>
      </c>
      <c r="C193" s="151"/>
      <c r="D193" s="157"/>
      <c r="E193" s="131" t="s">
        <v>607</v>
      </c>
      <c r="F193" s="165" t="s">
        <v>1443</v>
      </c>
      <c r="G193" s="141"/>
      <c r="H193" s="141"/>
    </row>
    <row r="194" spans="1:8" ht="15.75">
      <c r="A194" s="165" t="s">
        <v>1444</v>
      </c>
      <c r="B194" s="150" t="str">
        <f>IF($B$172="None Entered","None Entered",IF('07_GSM_WAP Profiles'!E27="","None Entered",'07_GSM_WAP Profiles'!E27))</f>
        <v>ISDN</v>
      </c>
      <c r="C194" s="151"/>
      <c r="D194" s="157"/>
      <c r="E194" s="131" t="s">
        <v>607</v>
      </c>
      <c r="F194" s="165" t="s">
        <v>1445</v>
      </c>
      <c r="G194" s="141"/>
      <c r="H194" s="141"/>
    </row>
    <row r="195" spans="1:8" ht="15.75">
      <c r="A195" s="165" t="s">
        <v>1446</v>
      </c>
      <c r="B195" s="150" t="str">
        <f>IF($B$172="None Entered","None Entered",IF('07_GSM_WAP Profiles'!E28="","None Entered",'07_GSM_WAP Profiles'!E28))</f>
        <v>internet.movistar.ve</v>
      </c>
      <c r="C195" s="151"/>
      <c r="D195" s="157"/>
      <c r="E195" s="131" t="s">
        <v>607</v>
      </c>
      <c r="F195" s="165" t="s">
        <v>1447</v>
      </c>
      <c r="G195" s="141"/>
      <c r="H195" s="141"/>
    </row>
    <row r="196" spans="1:8" ht="15.75">
      <c r="A196" s="165" t="s">
        <v>1448</v>
      </c>
      <c r="B196" s="150" t="str">
        <f>IF($B$172="None Entered","None Entered",IF('07_GSM_WAP Profiles'!E29="","None Entered",'07_GSM_WAP Profiles'!E29))</f>
        <v>None Entered</v>
      </c>
      <c r="C196" s="151"/>
      <c r="D196" s="157"/>
      <c r="E196" s="131" t="s">
        <v>607</v>
      </c>
      <c r="F196" s="165" t="s">
        <v>1449</v>
      </c>
      <c r="G196" s="141"/>
      <c r="H196" s="141"/>
    </row>
    <row r="197" spans="1:8" ht="15.75">
      <c r="A197" s="165" t="s">
        <v>1450</v>
      </c>
      <c r="B197" s="150" t="str">
        <f>IF($B$172="None Entered","None Entered",IF('07_GSM_WAP Profiles'!E30="","None Entered",'07_GSM_WAP Profiles'!E30))</f>
        <v>None Entered</v>
      </c>
      <c r="C197" s="151"/>
      <c r="D197" s="157"/>
      <c r="E197" s="131" t="s">
        <v>607</v>
      </c>
      <c r="F197" s="165" t="s">
        <v>1451</v>
      </c>
      <c r="G197" s="141"/>
      <c r="H197" s="141"/>
    </row>
    <row r="198" spans="1:8" ht="15.75">
      <c r="A198" s="182" t="s">
        <v>587</v>
      </c>
      <c r="B198" s="179" t="s">
        <v>1452</v>
      </c>
      <c r="C198" s="180"/>
      <c r="D198" s="181"/>
      <c r="E198" s="138"/>
      <c r="F198" s="185"/>
      <c r="G198" s="141"/>
      <c r="H198" s="141"/>
    </row>
    <row r="199" spans="1:8" ht="15.75">
      <c r="A199" s="165" t="s">
        <v>789</v>
      </c>
      <c r="B199" s="176" t="str">
        <f>IF('07_GSM_WAP Profiles'!F3="","No",'07_GSM_WAP Profiles'!F3)</f>
        <v>No</v>
      </c>
      <c r="C199" s="151" t="s">
        <v>600</v>
      </c>
      <c r="D199" s="132" t="s">
        <v>910</v>
      </c>
      <c r="E199" s="131" t="s">
        <v>1073</v>
      </c>
      <c r="F199" s="130" t="s">
        <v>651</v>
      </c>
      <c r="G199" s="141"/>
      <c r="H199" s="141"/>
    </row>
    <row r="200" spans="1:8" ht="15.75">
      <c r="A200" s="165" t="s">
        <v>1297</v>
      </c>
      <c r="B200" s="150" t="str">
        <f>IF('07_GSM_WAP Profiles'!F4="","Read and Write",IF('07_GSM_WAP Profiles'!F4="RW","Read and Write",IF('07_GSM_WAP Profiles'!F4="R","Read Only",'07_GSM_WAP Profiles'!F4)))</f>
        <v>Read and Write</v>
      </c>
      <c r="C200" s="151"/>
      <c r="D200" s="157"/>
      <c r="E200" s="131" t="s">
        <v>607</v>
      </c>
      <c r="F200" s="165" t="s">
        <v>151</v>
      </c>
      <c r="G200" s="141"/>
      <c r="H200" s="141"/>
    </row>
    <row r="201" spans="1:8" ht="15.75">
      <c r="A201" s="165" t="s">
        <v>1453</v>
      </c>
      <c r="B201" s="150" t="str">
        <f>IF('07_GSM_WAP Profiles'!F5="","None Entered",'07_GSM_WAP Profiles'!F5)</f>
        <v>MMS</v>
      </c>
      <c r="C201" s="151"/>
      <c r="D201" s="157"/>
      <c r="E201" s="131" t="s">
        <v>607</v>
      </c>
      <c r="F201" s="165" t="s">
        <v>1454</v>
      </c>
      <c r="G201" s="141"/>
      <c r="H201" s="141"/>
    </row>
    <row r="202" spans="1:8" ht="15.75">
      <c r="A202" s="165" t="s">
        <v>1298</v>
      </c>
      <c r="B202" s="150" t="str">
        <f>IF($B$201="None Entered","None Entered",IF('07_GSM_WAP Profiles'!F6="","None Entered",'07_GSM_WAP Profiles'!F6))</f>
        <v>http://mms.movistar.com.ve:8088/mms</v>
      </c>
      <c r="C202" s="151"/>
      <c r="D202" s="157"/>
      <c r="E202" s="131" t="s">
        <v>607</v>
      </c>
      <c r="F202" s="165" t="s">
        <v>152</v>
      </c>
      <c r="G202" s="141"/>
      <c r="H202" s="141"/>
    </row>
    <row r="203" spans="1:8" ht="15.75">
      <c r="A203" s="165" t="s">
        <v>1299</v>
      </c>
      <c r="B203" s="150" t="str">
        <f>IF($B$201="None Entered","None Entered",IF('07_GSM_WAP Profiles'!F7="","None Entered",'07_GSM_WAP Profiles'!F7))</f>
        <v>200.035.064.073</v>
      </c>
      <c r="C203" s="151"/>
      <c r="D203" s="157"/>
      <c r="E203" s="131" t="s">
        <v>607</v>
      </c>
      <c r="F203" s="165" t="s">
        <v>153</v>
      </c>
      <c r="G203" s="141"/>
      <c r="H203" s="141"/>
    </row>
    <row r="204" spans="1:8" ht="15.75">
      <c r="A204" s="165" t="s">
        <v>1300</v>
      </c>
      <c r="B204" s="150">
        <f>IF($B$201="None Entered","None Entered",IF('07_GSM_WAP Profiles'!F8="","None Entered",'07_GSM_WAP Profiles'!F8))</f>
        <v>9001</v>
      </c>
      <c r="C204" s="151"/>
      <c r="D204" s="157"/>
      <c r="E204" s="131" t="s">
        <v>607</v>
      </c>
      <c r="F204" s="165" t="s">
        <v>154</v>
      </c>
      <c r="G204" s="141"/>
      <c r="H204" s="141"/>
    </row>
    <row r="205" spans="1:8" ht="15.75">
      <c r="A205" s="165" t="s">
        <v>1301</v>
      </c>
      <c r="B205" s="150" t="str">
        <f>IF($B$201="None Entered","None Entered",IF('07_GSM_WAP Profiles'!F9="","None Entered",'07_GSM_WAP Profiles'!F9))</f>
        <v>None Entered</v>
      </c>
      <c r="C205" s="151"/>
      <c r="D205" s="157"/>
      <c r="E205" s="131" t="s">
        <v>607</v>
      </c>
      <c r="F205" s="165" t="s">
        <v>155</v>
      </c>
      <c r="G205" s="141"/>
      <c r="H205" s="141"/>
    </row>
    <row r="206" spans="1:8" ht="15.75">
      <c r="A206" s="165" t="s">
        <v>1302</v>
      </c>
      <c r="B206" s="150" t="str">
        <f>IF($B$201="None Entered","None Entered",IF('07_GSM_WAP Profiles'!F10="","None Entered",'07_GSM_WAP Profiles'!F10))</f>
        <v>HTTP</v>
      </c>
      <c r="C206" s="151"/>
      <c r="D206" s="157"/>
      <c r="E206" s="131" t="s">
        <v>607</v>
      </c>
      <c r="F206" s="165" t="s">
        <v>156</v>
      </c>
      <c r="G206" s="141"/>
      <c r="H206" s="141"/>
    </row>
    <row r="207" spans="1:8" ht="15.75">
      <c r="A207" s="165" t="s">
        <v>1303</v>
      </c>
      <c r="B207" s="150" t="str">
        <f>IF($B$201="None Entered","None Entered",IF('07_GSM_WAP Profiles'!F11="","None Entered",'07_GSM_WAP Profiles'!F11))</f>
        <v>None Entered</v>
      </c>
      <c r="C207" s="151"/>
      <c r="D207" s="157"/>
      <c r="E207" s="131" t="s">
        <v>607</v>
      </c>
      <c r="F207" s="165" t="s">
        <v>157</v>
      </c>
      <c r="G207" s="141"/>
      <c r="H207" s="141"/>
    </row>
    <row r="208" spans="1:8" ht="15.75">
      <c r="A208" s="165" t="s">
        <v>1304</v>
      </c>
      <c r="B208" s="150">
        <f>IF($B$201="None Entered","None Entered",IF('07_GSM_WAP Profiles'!F12="","None Entered",'07_GSM_WAP Profiles'!F12))</f>
        <v>9001</v>
      </c>
      <c r="C208" s="151"/>
      <c r="D208" s="157"/>
      <c r="E208" s="131" t="s">
        <v>607</v>
      </c>
      <c r="F208" s="165" t="s">
        <v>158</v>
      </c>
      <c r="G208" s="141"/>
      <c r="H208" s="141"/>
    </row>
    <row r="209" spans="1:8" ht="15.75">
      <c r="A209" s="165" t="s">
        <v>1305</v>
      </c>
      <c r="B209" s="150" t="str">
        <f>IF($B$201="None Entered","None Entered",IF('07_GSM_WAP Profiles'!F13="","None Entered",'07_GSM_WAP Profiles'!F13))</f>
        <v>None Entered</v>
      </c>
      <c r="C209" s="151"/>
      <c r="D209" s="157"/>
      <c r="E209" s="131" t="s">
        <v>607</v>
      </c>
      <c r="F209" s="165" t="s">
        <v>159</v>
      </c>
      <c r="G209" s="141"/>
      <c r="H209" s="141"/>
    </row>
    <row r="210" spans="1:8" ht="15.75">
      <c r="A210" s="165" t="s">
        <v>1306</v>
      </c>
      <c r="B210" s="150" t="str">
        <f>IF($B$201="None Entered","None Entered",IF('07_GSM_WAP Profiles'!F14="","None Entered",'07_GSM_WAP Profiles'!F14))</f>
        <v>WAP</v>
      </c>
      <c r="C210" s="151"/>
      <c r="D210" s="157"/>
      <c r="E210" s="131" t="s">
        <v>607</v>
      </c>
      <c r="F210" s="165" t="s">
        <v>160</v>
      </c>
      <c r="G210" s="141"/>
      <c r="H210" s="141"/>
    </row>
    <row r="211" spans="1:8" ht="15.75">
      <c r="A211" s="165" t="s">
        <v>1307</v>
      </c>
      <c r="B211" s="150" t="str">
        <f>IF($B$201="None Entered","None Entered",IF('07_GSM_WAP Profiles'!F15="","None Entered",'07_GSM_WAP Profiles'!F15))</f>
        <v>None Entered</v>
      </c>
      <c r="C211" s="151"/>
      <c r="D211" s="157"/>
      <c r="E211" s="131" t="s">
        <v>607</v>
      </c>
      <c r="F211" s="165" t="s">
        <v>161</v>
      </c>
      <c r="G211" s="141"/>
      <c r="H211" s="141"/>
    </row>
    <row r="212" spans="1:8" ht="15.75">
      <c r="A212" s="165" t="s">
        <v>1308</v>
      </c>
      <c r="B212" s="150" t="str">
        <f>IF($B$201="None Entered","None Entered",IF('07_GSM_WAP Profiles'!F16="","None Entered",'07_GSM_WAP Profiles'!F16))</f>
        <v>None Entered</v>
      </c>
      <c r="C212" s="151"/>
      <c r="D212" s="157"/>
      <c r="E212" s="131" t="s">
        <v>607</v>
      </c>
      <c r="F212" s="165" t="s">
        <v>162</v>
      </c>
      <c r="G212" s="141"/>
      <c r="H212" s="141"/>
    </row>
    <row r="213" spans="1:8" ht="15.75">
      <c r="A213" s="165" t="s">
        <v>1455</v>
      </c>
      <c r="B213" s="150" t="str">
        <f>IF($B$201="None Entered","None Entered",IF('07_GSM_WAP Profiles'!F17="","None Entered",CONCATENATE('07_GSM_WAP Profiles'!F17/60," Minutes")))</f>
        <v>2 Minutes</v>
      </c>
      <c r="C213" s="151"/>
      <c r="D213" s="157"/>
      <c r="E213" s="131" t="s">
        <v>607</v>
      </c>
      <c r="F213" s="165" t="s">
        <v>1457</v>
      </c>
      <c r="G213" s="141"/>
      <c r="H213" s="141"/>
    </row>
    <row r="214" spans="1:8" ht="15.75">
      <c r="A214" s="165" t="s">
        <v>1309</v>
      </c>
      <c r="B214" s="150" t="str">
        <f>IF($B$201="None Entered","None Entered",IF('07_GSM_WAP Profiles'!F18="","None Entered",'07_GSM_WAP Profiles'!F18))</f>
        <v>None Entered</v>
      </c>
      <c r="C214" s="151"/>
      <c r="D214" s="157"/>
      <c r="E214" s="131" t="s">
        <v>607</v>
      </c>
      <c r="F214" s="165" t="s">
        <v>163</v>
      </c>
      <c r="G214" s="141"/>
      <c r="H214" s="141"/>
    </row>
    <row r="215" spans="1:8" ht="15.75">
      <c r="A215" s="165" t="s">
        <v>1458</v>
      </c>
      <c r="B215" s="150" t="str">
        <f>IF($B$201="None Entered","None Entered",IF('07_GSM_WAP Profiles'!F19="","None Entered",'07_GSM_WAP Profiles'!F19))</f>
        <v>None Entered</v>
      </c>
      <c r="C215" s="151"/>
      <c r="D215" s="157"/>
      <c r="E215" s="131" t="s">
        <v>607</v>
      </c>
      <c r="F215" s="165" t="s">
        <v>43</v>
      </c>
      <c r="G215" s="141"/>
      <c r="H215" s="141"/>
    </row>
    <row r="216" spans="1:8" ht="15.75">
      <c r="A216" s="165" t="s">
        <v>44</v>
      </c>
      <c r="B216" s="150" t="str">
        <f>IF($B$201="None Entered","None Entered",IF('07_GSM_WAP Profiles'!F20="","None Entered",'07_GSM_WAP Profiles'!F20))</f>
        <v>None Entered</v>
      </c>
      <c r="C216" s="151"/>
      <c r="D216" s="157"/>
      <c r="E216" s="131" t="s">
        <v>607</v>
      </c>
      <c r="F216" s="165" t="s">
        <v>46</v>
      </c>
      <c r="G216" s="141"/>
      <c r="H216" s="141"/>
    </row>
    <row r="217" spans="1:8" ht="15.75">
      <c r="A217" s="165" t="s">
        <v>47</v>
      </c>
      <c r="B217" s="150" t="str">
        <f>IF($B$201="None Entered","None Entered",IF('07_GSM_WAP Profiles'!F21="","None Entered",IF('07_GSM_WAP Profiles'!F21=9600,"9600 Baud Rate",IF('07_GSM_WAP Profiles'!F21=14400,"14400 Baud Rate",'07_GSM_WAP Profiles'!F21))))</f>
        <v>9600 Baud Rate</v>
      </c>
      <c r="C217" s="151"/>
      <c r="D217" s="157"/>
      <c r="E217" s="131" t="s">
        <v>607</v>
      </c>
      <c r="F217" s="165" t="s">
        <v>48</v>
      </c>
      <c r="G217" s="141"/>
      <c r="H217" s="141"/>
    </row>
    <row r="218" spans="1:8" ht="15.75">
      <c r="A218" s="165" t="s">
        <v>49</v>
      </c>
      <c r="B218" s="150" t="str">
        <f>IF($B$201="None Entered","None Entered",IF('07_GSM_WAP Profiles'!F22="","None Entered",'07_GSM_WAP Profiles'!F22))</f>
        <v>ISDN</v>
      </c>
      <c r="C218" s="151"/>
      <c r="D218" s="157"/>
      <c r="E218" s="131" t="s">
        <v>607</v>
      </c>
      <c r="F218" s="165" t="s">
        <v>50</v>
      </c>
      <c r="G218" s="141"/>
      <c r="H218" s="141"/>
    </row>
    <row r="219" spans="1:8" s="110" customFormat="1" ht="15.75">
      <c r="A219" s="165" t="s">
        <v>1312</v>
      </c>
      <c r="B219" s="150" t="str">
        <f>IF($B$201="None Entered","None Entered",IF('07_GSM_WAP Profiles'!F23="","None Entered",'07_GSM_WAP Profiles'!F23))</f>
        <v>None Entered</v>
      </c>
      <c r="C219" s="151"/>
      <c r="D219" s="167"/>
      <c r="E219" s="131" t="s">
        <v>607</v>
      </c>
      <c r="F219" s="165" t="s">
        <v>164</v>
      </c>
      <c r="G219" s="149"/>
      <c r="H219" s="149"/>
    </row>
    <row r="220" spans="1:8" ht="15.75">
      <c r="A220" s="165" t="s">
        <v>51</v>
      </c>
      <c r="B220" s="150" t="str">
        <f>IF($B$201="None Entered","None Entered",IF('07_GSM_WAP Profiles'!F24="","None Entered",'07_GSM_WAP Profiles'!F24))</f>
        <v>None Entered</v>
      </c>
      <c r="C220" s="151"/>
      <c r="D220" s="157"/>
      <c r="E220" s="131" t="s">
        <v>607</v>
      </c>
      <c r="F220" s="165" t="s">
        <v>52</v>
      </c>
      <c r="G220" s="141"/>
      <c r="H220" s="141"/>
    </row>
    <row r="221" spans="1:8" ht="15.75">
      <c r="A221" s="165" t="s">
        <v>53</v>
      </c>
      <c r="B221" s="150" t="str">
        <f>IF($B$201="None Entered","None Entered",IF('07_GSM_WAP Profiles'!F25="","None Entered",'07_GSM_WAP Profiles'!F25))</f>
        <v>None Entered</v>
      </c>
      <c r="C221" s="151"/>
      <c r="D221" s="157"/>
      <c r="E221" s="131" t="s">
        <v>607</v>
      </c>
      <c r="F221" s="165" t="s">
        <v>54</v>
      </c>
      <c r="G221" s="141"/>
      <c r="H221" s="141"/>
    </row>
    <row r="222" spans="1:8" ht="15.75">
      <c r="A222" s="165" t="s">
        <v>55</v>
      </c>
      <c r="B222" s="150" t="str">
        <f>IF($B$201="None Entered","None Entered",IF('07_GSM_WAP Profiles'!F26="","None Entered",IF('07_GSM_WAP Profiles'!F26=9600,"9600 Baud Rate",IF('07_GSM_WAP Profiles'!F26=14400,"14400 Baud Rate",'07_GSM_WAP Profiles'!F26))))</f>
        <v>9600 Baud Rate</v>
      </c>
      <c r="C222" s="151"/>
      <c r="D222" s="157"/>
      <c r="E222" s="131" t="s">
        <v>607</v>
      </c>
      <c r="F222" s="165" t="s">
        <v>56</v>
      </c>
      <c r="G222" s="141"/>
      <c r="H222" s="141"/>
    </row>
    <row r="223" spans="1:8" ht="15.75">
      <c r="A223" s="165" t="s">
        <v>635</v>
      </c>
      <c r="B223" s="150" t="str">
        <f>IF($B$201="None Entered","None Entered",IF('07_GSM_WAP Profiles'!F27="","None Entered",'07_GSM_WAP Profiles'!F27))</f>
        <v>ISDN</v>
      </c>
      <c r="C223" s="151"/>
      <c r="D223" s="157"/>
      <c r="E223" s="131" t="s">
        <v>607</v>
      </c>
      <c r="F223" s="165" t="s">
        <v>636</v>
      </c>
      <c r="G223" s="141"/>
      <c r="H223" s="141"/>
    </row>
    <row r="224" spans="1:8" ht="15.75">
      <c r="A224" s="165" t="s">
        <v>637</v>
      </c>
      <c r="B224" s="150" t="str">
        <f>IF($B$201="None Entered","None Entered",IF('07_GSM_WAP Profiles'!F28="","None Entered",'07_GSM_WAP Profiles'!F28))</f>
        <v>mms.movistar.ve</v>
      </c>
      <c r="C224" s="151"/>
      <c r="D224" s="157"/>
      <c r="E224" s="131" t="s">
        <v>607</v>
      </c>
      <c r="F224" s="165" t="s">
        <v>638</v>
      </c>
      <c r="G224" s="141"/>
      <c r="H224" s="141"/>
    </row>
    <row r="225" spans="1:8" ht="15.75">
      <c r="A225" s="165" t="s">
        <v>639</v>
      </c>
      <c r="B225" s="150" t="str">
        <f>IF($B$201="None Entered","None Entered",IF('07_GSM_WAP Profiles'!F29="","None Entered",'07_GSM_WAP Profiles'!F29))</f>
        <v>None Entered</v>
      </c>
      <c r="C225" s="151"/>
      <c r="D225" s="157"/>
      <c r="E225" s="131" t="s">
        <v>607</v>
      </c>
      <c r="F225" s="165" t="s">
        <v>640</v>
      </c>
      <c r="G225" s="141"/>
      <c r="H225" s="141"/>
    </row>
    <row r="226" spans="1:8" ht="15.75">
      <c r="A226" s="165" t="s">
        <v>641</v>
      </c>
      <c r="B226" s="150" t="str">
        <f>IF($B$201="None Entered","None Entered",IF('07_GSM_WAP Profiles'!F30="","None Entered",'07_GSM_WAP Profiles'!F30))</f>
        <v>None Entered</v>
      </c>
      <c r="C226" s="151"/>
      <c r="D226" s="157"/>
      <c r="E226" s="131" t="s">
        <v>607</v>
      </c>
      <c r="F226" s="165" t="s">
        <v>1357</v>
      </c>
      <c r="G226" s="141"/>
      <c r="H226" s="141"/>
    </row>
    <row r="227" spans="1:8" ht="15.75">
      <c r="A227" s="182" t="s">
        <v>587</v>
      </c>
      <c r="B227" s="179" t="s">
        <v>1050</v>
      </c>
      <c r="C227" s="180"/>
      <c r="D227" s="181"/>
      <c r="E227" s="138"/>
      <c r="F227" s="185"/>
      <c r="G227" s="141"/>
      <c r="H227" s="141"/>
    </row>
    <row r="228" spans="1:8" ht="15.75">
      <c r="A228" s="165" t="s">
        <v>788</v>
      </c>
      <c r="B228" s="176" t="str">
        <f>IF('07_GSM_WAP Profiles'!G3="","No",'07_GSM_WAP Profiles'!G3)</f>
        <v>No</v>
      </c>
      <c r="C228" s="151" t="s">
        <v>600</v>
      </c>
      <c r="D228" s="132" t="s">
        <v>910</v>
      </c>
      <c r="E228" s="131" t="s">
        <v>1073</v>
      </c>
      <c r="F228" s="130" t="s">
        <v>652</v>
      </c>
      <c r="G228" s="141"/>
      <c r="H228" s="141"/>
    </row>
    <row r="229" spans="1:8" ht="15.75">
      <c r="A229" s="165" t="s">
        <v>1313</v>
      </c>
      <c r="B229" s="150" t="str">
        <f>IF('07_GSM_WAP Profiles'!G4="","Read and Write",IF('07_GSM_WAP Profiles'!G4="RW","Read and Write",IF('07_GSM_WAP Profiles'!G4="R","Read Only",'07_GSM_WAP Profiles'!G4)))</f>
        <v>Read and Write</v>
      </c>
      <c r="C229" s="151"/>
      <c r="D229" s="157"/>
      <c r="E229" s="131" t="s">
        <v>607</v>
      </c>
      <c r="F229" s="165" t="s">
        <v>165</v>
      </c>
      <c r="G229" s="141"/>
      <c r="H229" s="141"/>
    </row>
    <row r="230" spans="1:8" ht="15.75">
      <c r="A230" s="165" t="s">
        <v>1051</v>
      </c>
      <c r="B230" s="150" t="str">
        <f>IF('07_GSM_WAP Profiles'!G5="","None Entered",'07_GSM_WAP Profiles'!G5)</f>
        <v>None Entered</v>
      </c>
      <c r="C230" s="151"/>
      <c r="D230" s="157"/>
      <c r="E230" s="131" t="s">
        <v>607</v>
      </c>
      <c r="F230" s="165" t="s">
        <v>1052</v>
      </c>
      <c r="G230" s="141"/>
      <c r="H230" s="141"/>
    </row>
    <row r="231" spans="1:8" ht="15.75">
      <c r="A231" s="165" t="s">
        <v>535</v>
      </c>
      <c r="B231" s="150" t="str">
        <f>IF($B$230="None Entered","None Entered",IF('07_GSM_WAP Profiles'!G6="","None Entered",'07_GSM_WAP Profiles'!G6))</f>
        <v>None Entered</v>
      </c>
      <c r="C231" s="151"/>
      <c r="D231" s="157"/>
      <c r="E231" s="131" t="s">
        <v>607</v>
      </c>
      <c r="F231" s="165" t="s">
        <v>166</v>
      </c>
      <c r="G231" s="141"/>
      <c r="H231" s="141"/>
    </row>
    <row r="232" spans="1:8" ht="15.75">
      <c r="A232" s="165" t="s">
        <v>208</v>
      </c>
      <c r="B232" s="150" t="str">
        <f>IF($B$230="None Entered","None Entered",IF('07_GSM_WAP Profiles'!G7="","None Entered",'07_GSM_WAP Profiles'!G7))</f>
        <v>None Entered</v>
      </c>
      <c r="C232" s="151"/>
      <c r="D232" s="157"/>
      <c r="E232" s="131" t="s">
        <v>607</v>
      </c>
      <c r="F232" s="165" t="s">
        <v>167</v>
      </c>
      <c r="G232" s="141"/>
      <c r="H232" s="141"/>
    </row>
    <row r="233" spans="1:8" ht="15.75">
      <c r="A233" s="165" t="s">
        <v>209</v>
      </c>
      <c r="B233" s="150" t="str">
        <f>IF($B$230="None Entered","None Entered",IF('07_GSM_WAP Profiles'!G8="","None Entered",'07_GSM_WAP Profiles'!G8))</f>
        <v>None Entered</v>
      </c>
      <c r="C233" s="151"/>
      <c r="D233" s="157"/>
      <c r="E233" s="131" t="s">
        <v>607</v>
      </c>
      <c r="F233" s="165" t="s">
        <v>168</v>
      </c>
      <c r="G233" s="141"/>
      <c r="H233" s="141"/>
    </row>
    <row r="234" spans="1:8" ht="15.75">
      <c r="A234" s="165" t="s">
        <v>210</v>
      </c>
      <c r="B234" s="150" t="str">
        <f>IF($B$230="None Entered","None Entered",IF('07_GSM_WAP Profiles'!G9="","None Entered",'07_GSM_WAP Profiles'!G9))</f>
        <v>None Entered</v>
      </c>
      <c r="C234" s="151"/>
      <c r="D234" s="157"/>
      <c r="E234" s="131" t="s">
        <v>607</v>
      </c>
      <c r="F234" s="165" t="s">
        <v>169</v>
      </c>
      <c r="G234" s="141"/>
      <c r="H234" s="141"/>
    </row>
    <row r="235" spans="1:8" ht="15.75">
      <c r="A235" s="165" t="s">
        <v>211</v>
      </c>
      <c r="B235" s="150" t="str">
        <f>IF($B$230="None Entered","None Entered",IF('07_GSM_WAP Profiles'!G10="","None Entered",'07_GSM_WAP Profiles'!G10))</f>
        <v>None Entered</v>
      </c>
      <c r="C235" s="151"/>
      <c r="D235" s="157"/>
      <c r="E235" s="131" t="s">
        <v>607</v>
      </c>
      <c r="F235" s="165" t="s">
        <v>170</v>
      </c>
      <c r="G235" s="141"/>
      <c r="H235" s="141"/>
    </row>
    <row r="236" spans="1:8" ht="15.75">
      <c r="A236" s="165" t="s">
        <v>212</v>
      </c>
      <c r="B236" s="150" t="str">
        <f>IF($B$230="None Entered","None Entered",IF('07_GSM_WAP Profiles'!G11="","None Entered",'07_GSM_WAP Profiles'!G11))</f>
        <v>None Entered</v>
      </c>
      <c r="C236" s="151"/>
      <c r="D236" s="157"/>
      <c r="E236" s="131" t="s">
        <v>607</v>
      </c>
      <c r="F236" s="165" t="s">
        <v>171</v>
      </c>
      <c r="G236" s="141"/>
      <c r="H236" s="141"/>
    </row>
    <row r="237" spans="1:8" ht="15.75">
      <c r="A237" s="165" t="s">
        <v>213</v>
      </c>
      <c r="B237" s="150" t="str">
        <f>IF($B$230="None Entered","None Entered",IF('07_GSM_WAP Profiles'!G12="","None Entered",'07_GSM_WAP Profiles'!G12))</f>
        <v>None Entered</v>
      </c>
      <c r="C237" s="151"/>
      <c r="D237" s="157"/>
      <c r="E237" s="131" t="s">
        <v>607</v>
      </c>
      <c r="F237" s="165" t="s">
        <v>172</v>
      </c>
      <c r="G237" s="141"/>
      <c r="H237" s="141"/>
    </row>
    <row r="238" spans="1:8" ht="15.75">
      <c r="A238" s="165" t="s">
        <v>214</v>
      </c>
      <c r="B238" s="150" t="str">
        <f>IF($B$230="None Entered","None Entered",IF('07_GSM_WAP Profiles'!G13="","None Entered",'07_GSM_WAP Profiles'!G13))</f>
        <v>None Entered</v>
      </c>
      <c r="C238" s="151"/>
      <c r="D238" s="157"/>
      <c r="E238" s="131" t="s">
        <v>607</v>
      </c>
      <c r="F238" s="165" t="s">
        <v>173</v>
      </c>
      <c r="G238" s="141"/>
      <c r="H238" s="141"/>
    </row>
    <row r="239" spans="1:8" ht="15.75">
      <c r="A239" s="165" t="s">
        <v>215</v>
      </c>
      <c r="B239" s="150" t="str">
        <f>IF($B$230="None Entered","None Entered",IF('07_GSM_WAP Profiles'!G14="","None Entered",'07_GSM_WAP Profiles'!G14))</f>
        <v>None Entered</v>
      </c>
      <c r="C239" s="151"/>
      <c r="D239" s="157"/>
      <c r="E239" s="131" t="s">
        <v>607</v>
      </c>
      <c r="F239" s="165" t="s">
        <v>1039</v>
      </c>
      <c r="G239" s="141"/>
      <c r="H239" s="141"/>
    </row>
    <row r="240" spans="1:8" ht="15.75">
      <c r="A240" s="165" t="s">
        <v>216</v>
      </c>
      <c r="B240" s="150" t="str">
        <f>IF($B$230="None Entered","None Entered",IF('07_GSM_WAP Profiles'!G15="","None Entered",'07_GSM_WAP Profiles'!G15))</f>
        <v>None Entered</v>
      </c>
      <c r="C240" s="151"/>
      <c r="D240" s="157"/>
      <c r="E240" s="131" t="s">
        <v>607</v>
      </c>
      <c r="F240" s="165" t="s">
        <v>1040</v>
      </c>
      <c r="G240" s="141"/>
      <c r="H240" s="141"/>
    </row>
    <row r="241" spans="1:8" ht="15.75">
      <c r="A241" s="165" t="s">
        <v>217</v>
      </c>
      <c r="B241" s="150" t="str">
        <f>IF($B$230="None Entered","None Entered",IF('07_GSM_WAP Profiles'!G16="","None Entered",'07_GSM_WAP Profiles'!G16))</f>
        <v>None Entered</v>
      </c>
      <c r="C241" s="151"/>
      <c r="D241" s="157"/>
      <c r="E241" s="131" t="s">
        <v>607</v>
      </c>
      <c r="F241" s="165" t="s">
        <v>1231</v>
      </c>
      <c r="G241" s="141"/>
      <c r="H241" s="141"/>
    </row>
    <row r="242" spans="1:8" ht="15.75">
      <c r="A242" s="165" t="s">
        <v>1053</v>
      </c>
      <c r="B242" s="150" t="str">
        <f>IF($B$230="None Entered","None Entered",IF('07_GSM_WAP Profiles'!G17="","None Entered",CONCATENATE('07_GSM_WAP Profiles'!G17/60," Minutes")))</f>
        <v>None Entered</v>
      </c>
      <c r="C242" s="151"/>
      <c r="D242" s="157"/>
      <c r="E242" s="131" t="s">
        <v>607</v>
      </c>
      <c r="F242" s="165" t="s">
        <v>1054</v>
      </c>
      <c r="G242" s="141"/>
      <c r="H242" s="141"/>
    </row>
    <row r="243" spans="1:8" ht="15.75">
      <c r="A243" s="165" t="s">
        <v>218</v>
      </c>
      <c r="B243" s="150" t="str">
        <f>IF($B$230="None Entered","None Entered",IF('07_GSM_WAP Profiles'!G18="","None Entered",'07_GSM_WAP Profiles'!G18))</f>
        <v>None Entered</v>
      </c>
      <c r="C243" s="151"/>
      <c r="D243" s="157"/>
      <c r="E243" s="131" t="s">
        <v>607</v>
      </c>
      <c r="F243" s="165" t="s">
        <v>1232</v>
      </c>
      <c r="G243" s="141"/>
      <c r="H243" s="141"/>
    </row>
    <row r="244" spans="1:8" ht="15.75">
      <c r="A244" s="165" t="s">
        <v>1055</v>
      </c>
      <c r="B244" s="150" t="str">
        <f>IF($B$230="None Entered","None Entered",IF('07_GSM_WAP Profiles'!G19="","None Entered",'07_GSM_WAP Profiles'!G19))</f>
        <v>None Entered</v>
      </c>
      <c r="C244" s="151"/>
      <c r="D244" s="157"/>
      <c r="E244" s="131" t="s">
        <v>607</v>
      </c>
      <c r="F244" s="165" t="s">
        <v>1056</v>
      </c>
      <c r="G244" s="141"/>
      <c r="H244" s="141"/>
    </row>
    <row r="245" spans="1:8" ht="15.75">
      <c r="A245" s="165" t="s">
        <v>1057</v>
      </c>
      <c r="B245" s="150" t="str">
        <f>IF($B$230="None Entered","None Entered",IF('07_GSM_WAP Profiles'!G20="","None Entered",'07_GSM_WAP Profiles'!G20))</f>
        <v>None Entered</v>
      </c>
      <c r="C245" s="151"/>
      <c r="D245" s="157"/>
      <c r="E245" s="131" t="s">
        <v>607</v>
      </c>
      <c r="F245" s="165" t="s">
        <v>1058</v>
      </c>
      <c r="G245" s="141"/>
      <c r="H245" s="141"/>
    </row>
    <row r="246" spans="1:8" ht="15.75">
      <c r="A246" s="165" t="s">
        <v>1059</v>
      </c>
      <c r="B246" s="150" t="str">
        <f>IF($B$230="None Entered","None Entered",IF('07_GSM_WAP Profiles'!G21="","None Entered",IF('07_GSM_WAP Profiles'!G21=9600,"9600 Baud Rate",IF('07_GSM_WAP Profiles'!G21=14400,"14400 Baud Rate",'07_GSM_WAP Profiles'!G21))))</f>
        <v>None Entered</v>
      </c>
      <c r="C246" s="166"/>
      <c r="D246" s="157"/>
      <c r="E246" s="131" t="s">
        <v>607</v>
      </c>
      <c r="F246" s="165" t="s">
        <v>1060</v>
      </c>
      <c r="G246" s="141"/>
      <c r="H246" s="141"/>
    </row>
    <row r="247" spans="1:8" ht="15.75">
      <c r="A247" s="165" t="s">
        <v>1061</v>
      </c>
      <c r="B247" s="150" t="str">
        <f>IF($B$230="None Entered","None Entered",IF('07_GSM_WAP Profiles'!G22="","None Entered",'07_GSM_WAP Profiles'!G22))</f>
        <v>None Entered</v>
      </c>
      <c r="C247" s="151"/>
      <c r="D247" s="157"/>
      <c r="E247" s="131" t="s">
        <v>607</v>
      </c>
      <c r="F247" s="165" t="s">
        <v>1062</v>
      </c>
      <c r="G247" s="141"/>
      <c r="H247" s="141"/>
    </row>
    <row r="248" spans="1:8" ht="15.75">
      <c r="A248" s="165" t="s">
        <v>219</v>
      </c>
      <c r="B248" s="150" t="str">
        <f>IF($B$230="None Entered","None Entered",IF('07_GSM_WAP Profiles'!G23="","None Entered",'07_GSM_WAP Profiles'!G23))</f>
        <v>None Entered</v>
      </c>
      <c r="C248" s="151"/>
      <c r="D248" s="157"/>
      <c r="E248" s="131" t="s">
        <v>607</v>
      </c>
      <c r="F248" s="165" t="s">
        <v>1233</v>
      </c>
      <c r="G248" s="141"/>
      <c r="H248" s="141"/>
    </row>
    <row r="249" spans="1:8" ht="15.75">
      <c r="A249" s="165" t="s">
        <v>1063</v>
      </c>
      <c r="B249" s="150" t="str">
        <f>IF($B$230="None Entered","None Entered",IF('07_GSM_WAP Profiles'!G24="","None Entered",'07_GSM_WAP Profiles'!G24))</f>
        <v>None Entered</v>
      </c>
      <c r="C249" s="151"/>
      <c r="D249" s="157"/>
      <c r="E249" s="131" t="s">
        <v>607</v>
      </c>
      <c r="F249" s="165" t="s">
        <v>1064</v>
      </c>
      <c r="G249" s="141"/>
      <c r="H249" s="141"/>
    </row>
    <row r="250" spans="1:8" ht="15.75">
      <c r="A250" s="165" t="s">
        <v>1065</v>
      </c>
      <c r="B250" s="150" t="str">
        <f>IF($B$230="None Entered","None Entered",IF('07_GSM_WAP Profiles'!G25="","None Entered",'07_GSM_WAP Profiles'!G25))</f>
        <v>None Entered</v>
      </c>
      <c r="C250" s="151"/>
      <c r="D250" s="157"/>
      <c r="E250" s="131" t="s">
        <v>607</v>
      </c>
      <c r="F250" s="165" t="s">
        <v>1066</v>
      </c>
      <c r="G250" s="141"/>
      <c r="H250" s="141"/>
    </row>
    <row r="251" spans="1:8" ht="15.75">
      <c r="A251" s="165" t="s">
        <v>1067</v>
      </c>
      <c r="B251" s="150" t="str">
        <f>IF($B$230="None Entered","None Entered",IF('07_GSM_WAP Profiles'!G26="","None Entered",IF('07_GSM_WAP Profiles'!G26=9600,"9600 Baud Rate",IF('07_GSM_WAP Profiles'!G26=14400,"14400 Baud Rate",'07_GSM_WAP Profiles'!G26))))</f>
        <v>None Entered</v>
      </c>
      <c r="C251" s="151"/>
      <c r="D251" s="157"/>
      <c r="E251" s="131" t="s">
        <v>607</v>
      </c>
      <c r="F251" s="165" t="s">
        <v>1068</v>
      </c>
      <c r="G251" s="141"/>
      <c r="H251" s="141"/>
    </row>
    <row r="252" spans="1:8" ht="15.75">
      <c r="A252" s="165" t="s">
        <v>1069</v>
      </c>
      <c r="B252" s="150" t="str">
        <f>IF($B$230="None Entered","None Entered",IF('07_GSM_WAP Profiles'!G27="","None Entered",'07_GSM_WAP Profiles'!G27))</f>
        <v>None Entered</v>
      </c>
      <c r="C252" s="151"/>
      <c r="D252" s="157"/>
      <c r="E252" s="131" t="s">
        <v>607</v>
      </c>
      <c r="F252" s="165" t="s">
        <v>1070</v>
      </c>
      <c r="G252" s="141"/>
      <c r="H252" s="141"/>
    </row>
    <row r="253" spans="1:8" ht="15.75">
      <c r="A253" s="165" t="s">
        <v>1071</v>
      </c>
      <c r="B253" s="150" t="str">
        <f>IF($B$230="None Entered","None Entered",IF('07_GSM_WAP Profiles'!G28="","None Entered",'07_GSM_WAP Profiles'!G28))</f>
        <v>None Entered</v>
      </c>
      <c r="C253" s="151"/>
      <c r="D253" s="157"/>
      <c r="E253" s="131" t="s">
        <v>607</v>
      </c>
      <c r="F253" s="165" t="s">
        <v>1072</v>
      </c>
      <c r="G253" s="141"/>
      <c r="H253" s="141"/>
    </row>
    <row r="254" spans="1:8" ht="15.75">
      <c r="A254" s="165" t="s">
        <v>1170</v>
      </c>
      <c r="B254" s="150" t="str">
        <f>IF($B$230="None Entered","None Entered",IF('07_GSM_WAP Profiles'!G29="","None Entered",'07_GSM_WAP Profiles'!G29))</f>
        <v>None Entered</v>
      </c>
      <c r="C254" s="151"/>
      <c r="D254" s="157"/>
      <c r="E254" s="131" t="s">
        <v>607</v>
      </c>
      <c r="F254" s="165" t="s">
        <v>1171</v>
      </c>
      <c r="G254" s="141"/>
      <c r="H254" s="141"/>
    </row>
    <row r="255" spans="1:8" ht="15.75">
      <c r="A255" s="165" t="s">
        <v>1172</v>
      </c>
      <c r="B255" s="150" t="str">
        <f>IF($B$230="None Entered","None Entered",IF('07_GSM_WAP Profiles'!G30="","None Entered",'07_GSM_WAP Profiles'!G30))</f>
        <v>None Entered</v>
      </c>
      <c r="C255" s="151"/>
      <c r="D255" s="157"/>
      <c r="E255" s="131" t="s">
        <v>607</v>
      </c>
      <c r="F255" s="165" t="s">
        <v>1173</v>
      </c>
      <c r="G255" s="141"/>
      <c r="H255" s="141"/>
    </row>
    <row r="256" spans="1:8" ht="15.75">
      <c r="A256" s="182" t="s">
        <v>587</v>
      </c>
      <c r="B256" s="179" t="s">
        <v>1205</v>
      </c>
      <c r="C256" s="180"/>
      <c r="D256" s="181"/>
      <c r="E256" s="138"/>
      <c r="F256" s="185"/>
      <c r="G256" s="141"/>
      <c r="H256" s="141"/>
    </row>
    <row r="257" spans="1:8" ht="15.75">
      <c r="A257" s="165" t="s">
        <v>787</v>
      </c>
      <c r="B257" s="176" t="str">
        <f>IF('07_GSM_WAP Profiles'!H3="","No",'07_GSM_WAP Profiles'!H3)</f>
        <v>No</v>
      </c>
      <c r="C257" s="151" t="s">
        <v>600</v>
      </c>
      <c r="D257" s="132" t="s">
        <v>910</v>
      </c>
      <c r="E257" s="131" t="s">
        <v>1073</v>
      </c>
      <c r="F257" s="130" t="s">
        <v>653</v>
      </c>
      <c r="G257" s="141"/>
      <c r="H257" s="141"/>
    </row>
    <row r="258" spans="1:8" ht="15.75">
      <c r="A258" s="165" t="s">
        <v>220</v>
      </c>
      <c r="B258" s="150" t="str">
        <f>IF('07_GSM_WAP Profiles'!H4="","Read and Write",IF('07_GSM_WAP Profiles'!H4="RW","Read and Write",IF('07_GSM_WAP Profiles'!H4="R","Read Only",'07_GSM_WAP Profiles'!H4)))</f>
        <v>Read and Write</v>
      </c>
      <c r="C258" s="151"/>
      <c r="D258" s="157"/>
      <c r="E258" s="131" t="s">
        <v>607</v>
      </c>
      <c r="F258" s="165" t="s">
        <v>1234</v>
      </c>
      <c r="G258" s="141"/>
      <c r="H258" s="141"/>
    </row>
    <row r="259" spans="1:8" ht="15.75">
      <c r="A259" s="165" t="s">
        <v>1207</v>
      </c>
      <c r="B259" s="150" t="str">
        <f>IF('07_GSM_WAP Profiles'!H5="","None Entered",'07_GSM_WAP Profiles'!H5)</f>
        <v>None Entered</v>
      </c>
      <c r="C259" s="151"/>
      <c r="D259" s="157"/>
      <c r="E259" s="131" t="s">
        <v>607</v>
      </c>
      <c r="F259" s="165" t="s">
        <v>501</v>
      </c>
      <c r="G259" s="141"/>
      <c r="H259" s="141"/>
    </row>
    <row r="260" spans="1:8" ht="15.75">
      <c r="A260" s="165" t="s">
        <v>221</v>
      </c>
      <c r="B260" s="150" t="str">
        <f>IF($B$259="None Entered","None Entered",IF('07_GSM_WAP Profiles'!H6="","None Entered",'07_GSM_WAP Profiles'!H6))</f>
        <v>None Entered</v>
      </c>
      <c r="C260" s="151"/>
      <c r="D260" s="157"/>
      <c r="E260" s="131" t="s">
        <v>607</v>
      </c>
      <c r="F260" s="165" t="s">
        <v>1235</v>
      </c>
      <c r="G260" s="141"/>
      <c r="H260" s="141"/>
    </row>
    <row r="261" spans="1:8" ht="15.75">
      <c r="A261" s="165" t="s">
        <v>222</v>
      </c>
      <c r="B261" s="150" t="str">
        <f>IF($B$259="None Entered","None Entered",IF('07_GSM_WAP Profiles'!H7="","None Entered",'07_GSM_WAP Profiles'!H7))</f>
        <v>None Entered</v>
      </c>
      <c r="C261" s="151"/>
      <c r="D261" s="157"/>
      <c r="E261" s="131" t="s">
        <v>607</v>
      </c>
      <c r="F261" s="165" t="s">
        <v>1236</v>
      </c>
      <c r="G261" s="141"/>
      <c r="H261" s="141"/>
    </row>
    <row r="262" spans="1:8" ht="15.75">
      <c r="A262" s="165" t="s">
        <v>223</v>
      </c>
      <c r="B262" s="150" t="str">
        <f>IF($B$259="None Entered","None Entered",IF('07_GSM_WAP Profiles'!H8="","None Entered",'07_GSM_WAP Profiles'!H8))</f>
        <v>None Entered</v>
      </c>
      <c r="C262" s="151"/>
      <c r="D262" s="157"/>
      <c r="E262" s="131" t="s">
        <v>607</v>
      </c>
      <c r="F262" s="165" t="s">
        <v>1237</v>
      </c>
      <c r="G262" s="141"/>
      <c r="H262" s="141"/>
    </row>
    <row r="263" spans="1:8" ht="15.75">
      <c r="A263" s="165" t="s">
        <v>224</v>
      </c>
      <c r="B263" s="150" t="str">
        <f>IF($B$259="None Entered","None Entered",IF('07_GSM_WAP Profiles'!H9="","None Entered",'07_GSM_WAP Profiles'!H9))</f>
        <v>None Entered</v>
      </c>
      <c r="C263" s="151"/>
      <c r="D263" s="157"/>
      <c r="E263" s="131" t="s">
        <v>607</v>
      </c>
      <c r="F263" s="165" t="s">
        <v>1238</v>
      </c>
      <c r="G263" s="141"/>
      <c r="H263" s="141"/>
    </row>
    <row r="264" spans="1:8" ht="15.75">
      <c r="A264" s="165" t="s">
        <v>225</v>
      </c>
      <c r="B264" s="150" t="str">
        <f>IF($B$259="None Entered","None Entered",IF('07_GSM_WAP Profiles'!H10="","None Entered",'07_GSM_WAP Profiles'!H10))</f>
        <v>None Entered</v>
      </c>
      <c r="C264" s="151"/>
      <c r="D264" s="157"/>
      <c r="E264" s="131" t="s">
        <v>607</v>
      </c>
      <c r="F264" s="165" t="s">
        <v>1239</v>
      </c>
      <c r="G264" s="141"/>
      <c r="H264" s="141"/>
    </row>
    <row r="265" spans="1:8" ht="15.75">
      <c r="A265" s="165" t="s">
        <v>226</v>
      </c>
      <c r="B265" s="150" t="str">
        <f>IF($B$259="None Entered","None Entered",IF('07_GSM_WAP Profiles'!H11="","None Entered",'07_GSM_WAP Profiles'!H11))</f>
        <v>None Entered</v>
      </c>
      <c r="C265" s="151"/>
      <c r="D265" s="157"/>
      <c r="E265" s="131" t="s">
        <v>607</v>
      </c>
      <c r="F265" s="165" t="s">
        <v>1240</v>
      </c>
      <c r="G265" s="141"/>
      <c r="H265" s="141"/>
    </row>
    <row r="266" spans="1:8" ht="15.75">
      <c r="A266" s="165" t="s">
        <v>1509</v>
      </c>
      <c r="B266" s="150" t="str">
        <f>IF($B$259="None Entered","None Entered",IF('07_GSM_WAP Profiles'!H12="","None Entered",'07_GSM_WAP Profiles'!H12))</f>
        <v>None Entered</v>
      </c>
      <c r="C266" s="151"/>
      <c r="D266" s="157"/>
      <c r="E266" s="131" t="s">
        <v>607</v>
      </c>
      <c r="F266" s="165" t="s">
        <v>1248</v>
      </c>
      <c r="G266" s="141"/>
      <c r="H266" s="141"/>
    </row>
    <row r="267" spans="1:8" ht="15.75">
      <c r="A267" s="165" t="s">
        <v>1510</v>
      </c>
      <c r="B267" s="150" t="str">
        <f>IF($B$259="None Entered","None Entered",IF('07_GSM_WAP Profiles'!H13="","None Entered",'07_GSM_WAP Profiles'!H13))</f>
        <v>None Entered</v>
      </c>
      <c r="C267" s="151"/>
      <c r="D267" s="157"/>
      <c r="E267" s="131" t="s">
        <v>607</v>
      </c>
      <c r="F267" s="165" t="s">
        <v>1249</v>
      </c>
      <c r="G267" s="141"/>
      <c r="H267" s="141"/>
    </row>
    <row r="268" spans="1:8" ht="15.75">
      <c r="A268" s="165" t="s">
        <v>1511</v>
      </c>
      <c r="B268" s="150" t="str">
        <f>IF($B$259="None Entered","None Entered",IF('07_GSM_WAP Profiles'!H14="","None Entered",'07_GSM_WAP Profiles'!H14))</f>
        <v>None Entered</v>
      </c>
      <c r="C268" s="151"/>
      <c r="D268" s="157"/>
      <c r="E268" s="131" t="s">
        <v>607</v>
      </c>
      <c r="F268" s="165" t="s">
        <v>1250</v>
      </c>
      <c r="G268" s="141"/>
      <c r="H268" s="141"/>
    </row>
    <row r="269" spans="1:8" ht="15.75">
      <c r="A269" s="165" t="s">
        <v>1512</v>
      </c>
      <c r="B269" s="150" t="str">
        <f>IF($B$259="None Entered","None Entered",IF('07_GSM_WAP Profiles'!H15="","None Entered",'07_GSM_WAP Profiles'!H15))</f>
        <v>None Entered</v>
      </c>
      <c r="C269" s="151"/>
      <c r="D269" s="157"/>
      <c r="E269" s="131" t="s">
        <v>607</v>
      </c>
      <c r="F269" s="165" t="s">
        <v>1251</v>
      </c>
      <c r="G269" s="141"/>
      <c r="H269" s="141"/>
    </row>
    <row r="270" spans="1:8" ht="15.75">
      <c r="A270" s="165" t="s">
        <v>1513</v>
      </c>
      <c r="B270" s="150" t="str">
        <f>IF($B$259="None Entered","None Entered",IF('07_GSM_WAP Profiles'!H16="","None Entered",'07_GSM_WAP Profiles'!H16))</f>
        <v>None Entered</v>
      </c>
      <c r="C270" s="151"/>
      <c r="D270" s="157"/>
      <c r="E270" s="131" t="s">
        <v>607</v>
      </c>
      <c r="F270" s="165" t="s">
        <v>1252</v>
      </c>
      <c r="G270" s="141"/>
      <c r="H270" s="141"/>
    </row>
    <row r="271" spans="1:8" ht="15.75">
      <c r="A271" s="165" t="s">
        <v>1208</v>
      </c>
      <c r="B271" s="150" t="str">
        <f>IF($B$259="None Entered","None Entered",IF('07_GSM_WAP Profiles'!H17="","None Entered",CONCATENATE('07_GSM_WAP Profiles'!H17/60," Minutes")))</f>
        <v>None Entered</v>
      </c>
      <c r="C271" s="151"/>
      <c r="D271" s="157"/>
      <c r="E271" s="131" t="s">
        <v>607</v>
      </c>
      <c r="F271" s="165" t="s">
        <v>502</v>
      </c>
      <c r="G271" s="141"/>
      <c r="H271" s="141"/>
    </row>
    <row r="272" spans="1:8" ht="15.75">
      <c r="A272" s="165" t="s">
        <v>1514</v>
      </c>
      <c r="B272" s="150" t="str">
        <f>IF($B$259="None Entered","None Entered",IF('07_GSM_WAP Profiles'!H18="","None Entered",'07_GSM_WAP Profiles'!H18))</f>
        <v>None Entered</v>
      </c>
      <c r="C272" s="151"/>
      <c r="D272" s="157"/>
      <c r="E272" s="131" t="s">
        <v>607</v>
      </c>
      <c r="F272" s="165" t="s">
        <v>1253</v>
      </c>
      <c r="G272" s="141"/>
      <c r="H272" s="141"/>
    </row>
    <row r="273" spans="1:8" ht="15.75">
      <c r="A273" s="165" t="s">
        <v>1216</v>
      </c>
      <c r="B273" s="150" t="str">
        <f>IF($B$259="None Entered","None Entered",IF('07_GSM_WAP Profiles'!H19="","None Entered",'07_GSM_WAP Profiles'!H19))</f>
        <v>None Entered</v>
      </c>
      <c r="C273" s="151"/>
      <c r="D273" s="157"/>
      <c r="E273" s="131" t="s">
        <v>607</v>
      </c>
      <c r="F273" s="165" t="s">
        <v>503</v>
      </c>
      <c r="G273" s="141"/>
      <c r="H273" s="141"/>
    </row>
    <row r="274" spans="1:8" ht="15.75">
      <c r="A274" s="165" t="s">
        <v>1217</v>
      </c>
      <c r="B274" s="150" t="str">
        <f>IF($B$259="None Entered","None Entered",IF('07_GSM_WAP Profiles'!H20="","None Entered",'07_GSM_WAP Profiles'!H20))</f>
        <v>None Entered</v>
      </c>
      <c r="C274" s="151"/>
      <c r="D274" s="157"/>
      <c r="E274" s="131" t="s">
        <v>607</v>
      </c>
      <c r="F274" s="165" t="s">
        <v>504</v>
      </c>
      <c r="G274" s="141"/>
      <c r="H274" s="141"/>
    </row>
    <row r="275" spans="1:8" ht="15.75">
      <c r="A275" s="165" t="s">
        <v>1218</v>
      </c>
      <c r="B275" s="150" t="str">
        <f>IF($B$259="None Entered","None Entered",IF('07_GSM_WAP Profiles'!H21="","None Entered",IF('07_GSM_WAP Profiles'!H21=9600,"9600 Baud Rate",IF('07_GSM_WAP Profiles'!H21=14400,"14400 Baud Rate",'07_GSM_WAP Profiles'!H21))))</f>
        <v>None Entered</v>
      </c>
      <c r="C275" s="166"/>
      <c r="D275" s="157"/>
      <c r="E275" s="131" t="s">
        <v>607</v>
      </c>
      <c r="F275" s="165" t="s">
        <v>505</v>
      </c>
      <c r="G275" s="141"/>
      <c r="H275" s="141"/>
    </row>
    <row r="276" spans="1:8" ht="15.75">
      <c r="A276" s="165" t="s">
        <v>1219</v>
      </c>
      <c r="B276" s="150" t="str">
        <f>IF($B$259="None Entered","None Entered",IF('07_GSM_WAP Profiles'!H22="","None Entered",'07_GSM_WAP Profiles'!H22))</f>
        <v>None Entered</v>
      </c>
      <c r="C276" s="151"/>
      <c r="D276" s="157"/>
      <c r="E276" s="131" t="s">
        <v>607</v>
      </c>
      <c r="F276" s="165" t="s">
        <v>506</v>
      </c>
      <c r="G276" s="141"/>
      <c r="H276" s="141"/>
    </row>
    <row r="277" spans="1:8" ht="15.75">
      <c r="A277" s="165" t="s">
        <v>1515</v>
      </c>
      <c r="B277" s="150" t="str">
        <f>IF($B$259="None Entered","None Entered",IF('07_GSM_WAP Profiles'!H23="","None Entered",'07_GSM_WAP Profiles'!H23))</f>
        <v>None Entered</v>
      </c>
      <c r="C277" s="151"/>
      <c r="D277" s="157"/>
      <c r="E277" s="131" t="s">
        <v>607</v>
      </c>
      <c r="F277" s="165" t="s">
        <v>1254</v>
      </c>
      <c r="G277" s="141"/>
      <c r="H277" s="141"/>
    </row>
    <row r="278" spans="1:8" ht="15.75">
      <c r="A278" s="165" t="s">
        <v>1220</v>
      </c>
      <c r="B278" s="150" t="str">
        <f>IF($B$259="None Entered","None Entered",IF('07_GSM_WAP Profiles'!H24="","None Entered",'07_GSM_WAP Profiles'!H24))</f>
        <v>None Entered</v>
      </c>
      <c r="C278" s="151"/>
      <c r="D278" s="157"/>
      <c r="E278" s="131" t="s">
        <v>607</v>
      </c>
      <c r="F278" s="165" t="s">
        <v>507</v>
      </c>
      <c r="G278" s="141"/>
      <c r="H278" s="141"/>
    </row>
    <row r="279" spans="1:8" ht="15.75">
      <c r="A279" s="165" t="s">
        <v>1221</v>
      </c>
      <c r="B279" s="150" t="str">
        <f>IF($B$259="None Entered","None Entered",IF('07_GSM_WAP Profiles'!H25="","None Entered",'07_GSM_WAP Profiles'!H25))</f>
        <v>None Entered</v>
      </c>
      <c r="C279" s="151"/>
      <c r="D279" s="157"/>
      <c r="E279" s="131" t="s">
        <v>607</v>
      </c>
      <c r="F279" s="165" t="s">
        <v>508</v>
      </c>
      <c r="G279" s="141"/>
      <c r="H279" s="141"/>
    </row>
    <row r="280" spans="1:8" ht="15.75">
      <c r="A280" s="165" t="s">
        <v>1222</v>
      </c>
      <c r="B280" s="150" t="str">
        <f>IF($B$259="None Entered","None Entered",IF('07_GSM_WAP Profiles'!H26="","None Entered",IF('07_GSM_WAP Profiles'!H26=9600,"9600 Baud Rate",IF('07_GSM_WAP Profiles'!H26=14400,"14400 Baud Rate",'07_GSM_WAP Profiles'!H26))))</f>
        <v>None Entered</v>
      </c>
      <c r="C280" s="151"/>
      <c r="D280" s="157"/>
      <c r="E280" s="131" t="s">
        <v>607</v>
      </c>
      <c r="F280" s="165" t="s">
        <v>509</v>
      </c>
      <c r="G280" s="141"/>
      <c r="H280" s="141"/>
    </row>
    <row r="281" spans="1:8" ht="15.75">
      <c r="A281" s="165" t="s">
        <v>1223</v>
      </c>
      <c r="B281" s="150" t="str">
        <f>IF($B$259="None Entered","None Entered",IF('07_GSM_WAP Profiles'!H27="","None Entered",'07_GSM_WAP Profiles'!H27))</f>
        <v>None Entered</v>
      </c>
      <c r="C281" s="151"/>
      <c r="D281" s="157"/>
      <c r="E281" s="131" t="s">
        <v>607</v>
      </c>
      <c r="F281" s="165" t="s">
        <v>510</v>
      </c>
      <c r="G281" s="141"/>
      <c r="H281" s="141"/>
    </row>
    <row r="282" spans="1:8" ht="15.75">
      <c r="A282" s="165" t="s">
        <v>498</v>
      </c>
      <c r="B282" s="150" t="str">
        <f>IF($B$259="None Entered","None Entered",IF('07_GSM_WAP Profiles'!H28="","None Entered",'07_GSM_WAP Profiles'!H28))</f>
        <v>None Entered</v>
      </c>
      <c r="C282" s="151"/>
      <c r="D282" s="157"/>
      <c r="E282" s="131" t="s">
        <v>607</v>
      </c>
      <c r="F282" s="165" t="s">
        <v>511</v>
      </c>
      <c r="G282" s="141"/>
      <c r="H282" s="141"/>
    </row>
    <row r="283" spans="1:8" ht="15.75">
      <c r="A283" s="165" t="s">
        <v>499</v>
      </c>
      <c r="B283" s="150" t="str">
        <f>IF($B$259="None Entered","None Entered",IF('07_GSM_WAP Profiles'!H29="","None Entered",'07_GSM_WAP Profiles'!H29))</f>
        <v>None Entered</v>
      </c>
      <c r="C283" s="151"/>
      <c r="D283" s="157"/>
      <c r="E283" s="131" t="s">
        <v>607</v>
      </c>
      <c r="F283" s="165" t="s">
        <v>512</v>
      </c>
      <c r="G283" s="141"/>
      <c r="H283" s="141"/>
    </row>
    <row r="284" spans="1:8" ht="15.75">
      <c r="A284" s="165" t="s">
        <v>500</v>
      </c>
      <c r="B284" s="150" t="str">
        <f>IF($B$259="None Entered","None Entered",IF('07_GSM_WAP Profiles'!H30="","None Entered",'07_GSM_WAP Profiles'!H30))</f>
        <v>None Entered</v>
      </c>
      <c r="C284" s="151"/>
      <c r="D284" s="157"/>
      <c r="E284" s="131" t="s">
        <v>607</v>
      </c>
      <c r="F284" s="165" t="s">
        <v>513</v>
      </c>
      <c r="G284" s="141"/>
      <c r="H284" s="141"/>
    </row>
    <row r="285" spans="1:8" ht="15.75">
      <c r="A285" s="182" t="s">
        <v>587</v>
      </c>
      <c r="B285" s="179" t="s">
        <v>1206</v>
      </c>
      <c r="C285" s="180"/>
      <c r="D285" s="181"/>
      <c r="E285" s="138"/>
      <c r="F285" s="185"/>
      <c r="G285" s="141"/>
      <c r="H285" s="141"/>
    </row>
    <row r="286" spans="1:8" ht="15.75">
      <c r="A286" s="165" t="s">
        <v>786</v>
      </c>
      <c r="B286" s="150" t="str">
        <f>IF('07_GSM_WAP Profiles'!I3="","No",'07_GSM_WAP Profiles'!I3)</f>
        <v>No</v>
      </c>
      <c r="C286" s="151" t="s">
        <v>600</v>
      </c>
      <c r="D286" s="132" t="s">
        <v>910</v>
      </c>
      <c r="E286" s="131" t="s">
        <v>1073</v>
      </c>
      <c r="F286" s="130" t="s">
        <v>654</v>
      </c>
      <c r="G286" s="141"/>
      <c r="H286" s="141"/>
    </row>
    <row r="287" spans="1:8" ht="15.75">
      <c r="A287" s="165" t="s">
        <v>1516</v>
      </c>
      <c r="B287" s="150" t="str">
        <f>IF('07_GSM_WAP Profiles'!I4="","Read and Write",IF('07_GSM_WAP Profiles'!I4="RW","Read and Write",IF('07_GSM_WAP Profiles'!I4="R","Read Only",'07_GSM_WAP Profiles'!I4)))</f>
        <v>Read and Write</v>
      </c>
      <c r="C287" s="151"/>
      <c r="D287" s="157"/>
      <c r="E287" s="131" t="s">
        <v>607</v>
      </c>
      <c r="F287" s="165" t="s">
        <v>1255</v>
      </c>
      <c r="G287" s="141"/>
      <c r="H287" s="141"/>
    </row>
    <row r="288" spans="1:8" ht="15.75">
      <c r="A288" s="165" t="s">
        <v>514</v>
      </c>
      <c r="B288" s="150" t="str">
        <f>IF('07_GSM_WAP Profiles'!I5="","None Entered",'07_GSM_WAP Profiles'!I5)</f>
        <v>None Entered</v>
      </c>
      <c r="C288" s="151"/>
      <c r="D288" s="157"/>
      <c r="E288" s="131" t="s">
        <v>607</v>
      </c>
      <c r="F288" s="165" t="s">
        <v>1472</v>
      </c>
      <c r="G288" s="141"/>
      <c r="H288" s="141"/>
    </row>
    <row r="289" spans="1:8" ht="15.75">
      <c r="A289" s="165" t="s">
        <v>1517</v>
      </c>
      <c r="B289" s="150" t="str">
        <f>IF($B$288="None Entered","None Entered",IF('07_GSM_WAP Profiles'!I6="","None Entered",'07_GSM_WAP Profiles'!I6))</f>
        <v>None Entered</v>
      </c>
      <c r="C289" s="151"/>
      <c r="D289" s="157"/>
      <c r="E289" s="131" t="s">
        <v>607</v>
      </c>
      <c r="F289" s="165" t="s">
        <v>1256</v>
      </c>
      <c r="G289" s="141"/>
      <c r="H289" s="141"/>
    </row>
    <row r="290" spans="1:8" ht="15.75">
      <c r="A290" s="165" t="s">
        <v>1518</v>
      </c>
      <c r="B290" s="150" t="str">
        <f>IF($B$288="None Entered","None Entered",IF('07_GSM_WAP Profiles'!I7="","None Entered",'07_GSM_WAP Profiles'!I7))</f>
        <v>None Entered</v>
      </c>
      <c r="C290" s="151"/>
      <c r="D290" s="157"/>
      <c r="E290" s="131" t="s">
        <v>607</v>
      </c>
      <c r="F290" s="165" t="s">
        <v>1257</v>
      </c>
      <c r="G290" s="141"/>
      <c r="H290" s="141"/>
    </row>
    <row r="291" spans="1:8" ht="15.75">
      <c r="A291" s="165" t="s">
        <v>1519</v>
      </c>
      <c r="B291" s="150" t="str">
        <f>IF($B$288="None Entered","None Entered",IF('07_GSM_WAP Profiles'!I8="","None Entered",'07_GSM_WAP Profiles'!I8))</f>
        <v>None Entered</v>
      </c>
      <c r="C291" s="151"/>
      <c r="D291" s="157"/>
      <c r="E291" s="131" t="s">
        <v>607</v>
      </c>
      <c r="F291" s="165" t="s">
        <v>1258</v>
      </c>
      <c r="G291" s="141"/>
      <c r="H291" s="141"/>
    </row>
    <row r="292" spans="1:8" ht="15.75">
      <c r="A292" s="165" t="s">
        <v>1520</v>
      </c>
      <c r="B292" s="150" t="str">
        <f>IF($B$288="None Entered","None Entered",IF('07_GSM_WAP Profiles'!I9="","None Entered",'07_GSM_WAP Profiles'!I9))</f>
        <v>None Entered</v>
      </c>
      <c r="C292" s="151"/>
      <c r="D292" s="157"/>
      <c r="E292" s="131" t="s">
        <v>607</v>
      </c>
      <c r="F292" s="165" t="s">
        <v>1259</v>
      </c>
      <c r="G292" s="141"/>
      <c r="H292" s="141"/>
    </row>
    <row r="293" spans="1:8" ht="15.75">
      <c r="A293" s="165" t="s">
        <v>1521</v>
      </c>
      <c r="B293" s="150" t="str">
        <f>IF($B$288="None Entered","None Entered",IF('07_GSM_WAP Profiles'!I10="","None Entered",'07_GSM_WAP Profiles'!I10))</f>
        <v>None Entered</v>
      </c>
      <c r="C293" s="151"/>
      <c r="D293" s="157"/>
      <c r="E293" s="131" t="s">
        <v>607</v>
      </c>
      <c r="F293" s="165" t="s">
        <v>1260</v>
      </c>
      <c r="G293" s="141"/>
      <c r="H293" s="141"/>
    </row>
    <row r="294" spans="1:8" ht="15.75">
      <c r="A294" s="165" t="s">
        <v>1522</v>
      </c>
      <c r="B294" s="150" t="str">
        <f>IF($B$288="None Entered","None Entered",IF('07_GSM_WAP Profiles'!I11="","None Entered",'07_GSM_WAP Profiles'!I11))</f>
        <v>None Entered</v>
      </c>
      <c r="C294" s="151"/>
      <c r="D294" s="157"/>
      <c r="E294" s="131" t="s">
        <v>607</v>
      </c>
      <c r="F294" s="165" t="s">
        <v>1261</v>
      </c>
      <c r="G294" s="141"/>
      <c r="H294" s="141"/>
    </row>
    <row r="295" spans="1:8" ht="15.75">
      <c r="A295" s="165" t="s">
        <v>1523</v>
      </c>
      <c r="B295" s="150" t="str">
        <f>IF($B$288="None Entered","None Entered",IF('07_GSM_WAP Profiles'!I12="","None Entered",'07_GSM_WAP Profiles'!I12))</f>
        <v>None Entered</v>
      </c>
      <c r="C295" s="151"/>
      <c r="D295" s="157"/>
      <c r="E295" s="131" t="s">
        <v>607</v>
      </c>
      <c r="F295" s="165" t="s">
        <v>1262</v>
      </c>
      <c r="G295" s="141"/>
      <c r="H295" s="141"/>
    </row>
    <row r="296" spans="1:8" ht="15.75">
      <c r="A296" s="165" t="s">
        <v>1524</v>
      </c>
      <c r="B296" s="150" t="str">
        <f>IF($B$288="None Entered","None Entered",IF('07_GSM_WAP Profiles'!I13="","None Entered",'07_GSM_WAP Profiles'!I13))</f>
        <v>None Entered</v>
      </c>
      <c r="C296" s="151"/>
      <c r="D296" s="157"/>
      <c r="E296" s="131" t="s">
        <v>607</v>
      </c>
      <c r="F296" s="165" t="s">
        <v>1263</v>
      </c>
      <c r="G296" s="141"/>
      <c r="H296" s="141"/>
    </row>
    <row r="297" spans="1:8" ht="15.75">
      <c r="A297" s="165" t="s">
        <v>1525</v>
      </c>
      <c r="B297" s="150" t="str">
        <f>IF($B$288="None Entered","None Entered",IF('07_GSM_WAP Profiles'!I14="","None Entered",'07_GSM_WAP Profiles'!I14))</f>
        <v>None Entered</v>
      </c>
      <c r="C297" s="151"/>
      <c r="D297" s="157"/>
      <c r="E297" s="131" t="s">
        <v>607</v>
      </c>
      <c r="F297" s="165" t="s">
        <v>1264</v>
      </c>
      <c r="G297" s="141"/>
      <c r="H297" s="141"/>
    </row>
    <row r="298" spans="1:8" ht="15.75">
      <c r="A298" s="165" t="s">
        <v>1526</v>
      </c>
      <c r="B298" s="150" t="str">
        <f>IF($B$288="None Entered","None Entered",IF('07_GSM_WAP Profiles'!I15="","None Entered",'07_GSM_WAP Profiles'!I15))</f>
        <v>None Entered</v>
      </c>
      <c r="C298" s="151"/>
      <c r="D298" s="157"/>
      <c r="E298" s="131" t="s">
        <v>607</v>
      </c>
      <c r="F298" s="165" t="s">
        <v>1265</v>
      </c>
      <c r="G298" s="141"/>
      <c r="H298" s="141"/>
    </row>
    <row r="299" spans="1:8" ht="15.75">
      <c r="A299" s="165" t="s">
        <v>1527</v>
      </c>
      <c r="B299" s="150" t="str">
        <f>IF($B$288="None Entered","None Entered",IF('07_GSM_WAP Profiles'!I16="","None Entered",'07_GSM_WAP Profiles'!I16))</f>
        <v>None Entered</v>
      </c>
      <c r="C299" s="151"/>
      <c r="D299" s="157"/>
      <c r="E299" s="131" t="s">
        <v>607</v>
      </c>
      <c r="F299" s="165" t="s">
        <v>1266</v>
      </c>
      <c r="G299" s="141"/>
      <c r="H299" s="141"/>
    </row>
    <row r="300" spans="1:8" ht="15.75">
      <c r="A300" s="165" t="s">
        <v>515</v>
      </c>
      <c r="B300" s="150" t="str">
        <f>IF($B$288="None Entered","None Entered",IF('07_GSM_WAP Profiles'!I17="","None Entered",CONCATENATE('07_GSM_WAP Profiles'!I17/60," Minutes")))</f>
        <v>None Entered</v>
      </c>
      <c r="C300" s="151"/>
      <c r="D300" s="157"/>
      <c r="E300" s="131" t="s">
        <v>607</v>
      </c>
      <c r="F300" s="165" t="s">
        <v>1473</v>
      </c>
      <c r="G300" s="141"/>
      <c r="H300" s="141"/>
    </row>
    <row r="301" spans="1:8" ht="15.75">
      <c r="A301" s="165" t="s">
        <v>1528</v>
      </c>
      <c r="B301" s="150" t="str">
        <f>IF($B$288="None Entered","None Entered",IF('07_GSM_WAP Profiles'!I18="","None Entered",'07_GSM_WAP Profiles'!I18))</f>
        <v>None Entered</v>
      </c>
      <c r="C301" s="151"/>
      <c r="D301" s="157"/>
      <c r="E301" s="131" t="s">
        <v>607</v>
      </c>
      <c r="F301" s="165" t="s">
        <v>1267</v>
      </c>
      <c r="G301" s="141"/>
      <c r="H301" s="141"/>
    </row>
    <row r="302" spans="1:8" ht="15.75">
      <c r="A302" s="165" t="s">
        <v>516</v>
      </c>
      <c r="B302" s="150" t="str">
        <f>IF($B$288="None Entered","None Entered",IF('07_GSM_WAP Profiles'!I19="","None Entered",'07_GSM_WAP Profiles'!I19))</f>
        <v>None Entered</v>
      </c>
      <c r="C302" s="151"/>
      <c r="D302" s="157"/>
      <c r="E302" s="131" t="s">
        <v>607</v>
      </c>
      <c r="F302" s="165" t="s">
        <v>1474</v>
      </c>
      <c r="G302" s="141"/>
      <c r="H302" s="141"/>
    </row>
    <row r="303" spans="1:8" ht="15.75">
      <c r="A303" s="165" t="s">
        <v>517</v>
      </c>
      <c r="B303" s="150" t="str">
        <f>IF($B$288="None Entered","None Entered",IF('07_GSM_WAP Profiles'!I20="","None Entered",'07_GSM_WAP Profiles'!I20))</f>
        <v>None Entered</v>
      </c>
      <c r="C303" s="151"/>
      <c r="D303" s="157"/>
      <c r="E303" s="131" t="s">
        <v>607</v>
      </c>
      <c r="F303" s="165" t="s">
        <v>1475</v>
      </c>
      <c r="G303" s="141"/>
      <c r="H303" s="141"/>
    </row>
    <row r="304" spans="1:8" ht="15.75">
      <c r="A304" s="165" t="s">
        <v>518</v>
      </c>
      <c r="B304" s="150" t="str">
        <f>IF($B$288="None Entered","None Entered",IF('07_GSM_WAP Profiles'!I21="","None Entered",IF('07_GSM_WAP Profiles'!I21=9600,"9600 Baud Rate",IF('07_GSM_WAP Profiles'!I21=14400,"14400 Baud Rate",'07_GSM_WAP Profiles'!I21))))</f>
        <v>None Entered</v>
      </c>
      <c r="C304" s="166"/>
      <c r="D304" s="157"/>
      <c r="E304" s="131" t="s">
        <v>607</v>
      </c>
      <c r="F304" s="165" t="s">
        <v>1476</v>
      </c>
      <c r="G304" s="141"/>
      <c r="H304" s="141"/>
    </row>
    <row r="305" spans="1:8" ht="15.75">
      <c r="A305" s="165" t="s">
        <v>519</v>
      </c>
      <c r="B305" s="150" t="str">
        <f>IF($B$288="None Entered","None Entered",IF('07_GSM_WAP Profiles'!I22="","None Entered",'07_GSM_WAP Profiles'!I22))</f>
        <v>None Entered</v>
      </c>
      <c r="C305" s="151"/>
      <c r="D305" s="157"/>
      <c r="E305" s="131" t="s">
        <v>607</v>
      </c>
      <c r="F305" s="165" t="s">
        <v>1477</v>
      </c>
      <c r="G305" s="141"/>
      <c r="H305" s="141"/>
    </row>
    <row r="306" spans="1:8" ht="15.75">
      <c r="A306" s="165" t="s">
        <v>1529</v>
      </c>
      <c r="B306" s="150" t="str">
        <f>IF($B$288="None Entered","None Entered",IF('07_GSM_WAP Profiles'!I23="","None Entered",'07_GSM_WAP Profiles'!I23))</f>
        <v>None Entered</v>
      </c>
      <c r="C306" s="151"/>
      <c r="D306" s="157"/>
      <c r="E306" s="131" t="s">
        <v>607</v>
      </c>
      <c r="F306" s="165" t="s">
        <v>1268</v>
      </c>
      <c r="G306" s="141"/>
      <c r="H306" s="141"/>
    </row>
    <row r="307" spans="1:8" ht="15.75">
      <c r="A307" s="165" t="s">
        <v>520</v>
      </c>
      <c r="B307" s="150" t="str">
        <f>IF($B$288="None Entered","None Entered",IF('07_GSM_WAP Profiles'!I24="","None Entered",'07_GSM_WAP Profiles'!I24))</f>
        <v>None Entered</v>
      </c>
      <c r="C307" s="151"/>
      <c r="D307" s="157"/>
      <c r="E307" s="131" t="s">
        <v>607</v>
      </c>
      <c r="F307" s="165" t="s">
        <v>1478</v>
      </c>
      <c r="G307" s="141"/>
      <c r="H307" s="141"/>
    </row>
    <row r="308" spans="1:8" ht="15.75">
      <c r="A308" s="165" t="s">
        <v>521</v>
      </c>
      <c r="B308" s="150" t="str">
        <f>IF($B$288="None Entered","None Entered",IF('07_GSM_WAP Profiles'!I25="","None Entered",'07_GSM_WAP Profiles'!I25))</f>
        <v>None Entered</v>
      </c>
      <c r="C308" s="151"/>
      <c r="D308" s="157"/>
      <c r="E308" s="131" t="s">
        <v>607</v>
      </c>
      <c r="F308" s="165" t="s">
        <v>1479</v>
      </c>
      <c r="G308" s="141"/>
      <c r="H308" s="141"/>
    </row>
    <row r="309" spans="1:8" ht="15.75">
      <c r="A309" s="165" t="s">
        <v>522</v>
      </c>
      <c r="B309" s="150" t="str">
        <f>IF($B$288="None Entered","None Entered",IF('07_GSM_WAP Profiles'!I26="","None Entered",IF('07_GSM_WAP Profiles'!I26=9600,"9600 Baud Rate",IF('07_GSM_WAP Profiles'!I26=14400,"14400 Baud Rate",'07_GSM_WAP Profiles'!I26))))</f>
        <v>None Entered</v>
      </c>
      <c r="C309" s="151"/>
      <c r="D309" s="157"/>
      <c r="E309" s="131" t="s">
        <v>607</v>
      </c>
      <c r="F309" s="165" t="s">
        <v>1480</v>
      </c>
      <c r="G309" s="141"/>
      <c r="H309" s="141"/>
    </row>
    <row r="310" spans="1:8" ht="15.75">
      <c r="A310" s="165" t="s">
        <v>523</v>
      </c>
      <c r="B310" s="150" t="str">
        <f>IF($B$288="None Entered","None Entered",IF('07_GSM_WAP Profiles'!I27="","None Entered",'07_GSM_WAP Profiles'!I27))</f>
        <v>None Entered</v>
      </c>
      <c r="C310" s="151"/>
      <c r="D310" s="157"/>
      <c r="E310" s="131" t="s">
        <v>607</v>
      </c>
      <c r="F310" s="165" t="s">
        <v>1481</v>
      </c>
      <c r="G310" s="141"/>
      <c r="H310" s="141"/>
    </row>
    <row r="311" spans="1:8" ht="15.75">
      <c r="A311" s="165" t="s">
        <v>524</v>
      </c>
      <c r="B311" s="150" t="str">
        <f>IF($B$288="None Entered","None Entered",IF('07_GSM_WAP Profiles'!I28="","None Entered",'07_GSM_WAP Profiles'!I28))</f>
        <v>None Entered</v>
      </c>
      <c r="C311" s="151"/>
      <c r="D311" s="157"/>
      <c r="E311" s="131" t="s">
        <v>607</v>
      </c>
      <c r="F311" s="165" t="s">
        <v>1482</v>
      </c>
      <c r="G311" s="141"/>
      <c r="H311" s="141"/>
    </row>
    <row r="312" spans="1:8" ht="15.75">
      <c r="A312" s="165" t="s">
        <v>1470</v>
      </c>
      <c r="B312" s="150" t="str">
        <f>IF($B$288="None Entered","None Entered",IF('07_GSM_WAP Profiles'!I29="","None Entered",'07_GSM_WAP Profiles'!I29))</f>
        <v>None Entered</v>
      </c>
      <c r="C312" s="151"/>
      <c r="D312" s="157"/>
      <c r="E312" s="131" t="s">
        <v>607</v>
      </c>
      <c r="F312" s="165" t="s">
        <v>541</v>
      </c>
      <c r="G312" s="141"/>
      <c r="H312" s="141"/>
    </row>
    <row r="313" spans="1:8" ht="15.75">
      <c r="A313" s="165" t="s">
        <v>1471</v>
      </c>
      <c r="B313" s="150" t="str">
        <f>IF($B$288="None Entered","None Entered",IF('07_GSM_WAP Profiles'!I30="","None Entered",'07_GSM_WAP Profiles'!I30))</f>
        <v>None Entered</v>
      </c>
      <c r="C313" s="151"/>
      <c r="D313" s="157"/>
      <c r="E313" s="131" t="s">
        <v>607</v>
      </c>
      <c r="F313" s="165" t="s">
        <v>542</v>
      </c>
      <c r="G313" s="141"/>
      <c r="H313" s="141"/>
    </row>
    <row r="314" spans="1:8" ht="15.75">
      <c r="A314" s="182" t="s">
        <v>587</v>
      </c>
      <c r="B314" s="179" t="s">
        <v>1466</v>
      </c>
      <c r="C314" s="180"/>
      <c r="D314" s="181"/>
      <c r="E314" s="138"/>
      <c r="F314" s="185"/>
      <c r="G314" s="141"/>
      <c r="H314" s="141"/>
    </row>
    <row r="315" spans="1:8" ht="15.75">
      <c r="A315" s="165" t="s">
        <v>972</v>
      </c>
      <c r="B315" s="176" t="str">
        <f>IF('07_GSM_WAP Profiles'!J3="","No",'07_GSM_WAP Profiles'!J3)</f>
        <v>No</v>
      </c>
      <c r="C315" s="151" t="s">
        <v>600</v>
      </c>
      <c r="D315" s="132" t="s">
        <v>910</v>
      </c>
      <c r="E315" s="131" t="s">
        <v>1073</v>
      </c>
      <c r="F315" s="130" t="s">
        <v>655</v>
      </c>
      <c r="G315" s="141"/>
      <c r="H315" s="141"/>
    </row>
    <row r="316" spans="1:8" ht="15.75">
      <c r="A316" s="165" t="s">
        <v>973</v>
      </c>
      <c r="B316" s="150" t="str">
        <f>IF('07_GSM_WAP Profiles'!J4="","Read and Write",IF('07_GSM_WAP Profiles'!J4="RW","Read and Write",IF('07_GSM_WAP Profiles'!J4="R","Read Only",'07_GSM_WAP Profiles'!J4)))</f>
        <v>Read and Write</v>
      </c>
      <c r="C316" s="151"/>
      <c r="D316" s="157"/>
      <c r="E316" s="131" t="s">
        <v>607</v>
      </c>
      <c r="F316" s="165" t="s">
        <v>1028</v>
      </c>
      <c r="G316" s="141"/>
      <c r="H316" s="141"/>
    </row>
    <row r="317" spans="1:8" ht="15.75">
      <c r="A317" s="165" t="s">
        <v>974</v>
      </c>
      <c r="B317" s="150" t="str">
        <f>IF('07_GSM_WAP Profiles'!J5="","None Entered",'07_GSM_WAP Profiles'!J5)</f>
        <v>None Entered</v>
      </c>
      <c r="C317" s="151"/>
      <c r="D317" s="157"/>
      <c r="E317" s="131" t="s">
        <v>607</v>
      </c>
      <c r="F317" s="165" t="s">
        <v>1029</v>
      </c>
      <c r="G317" s="141"/>
      <c r="H317" s="141"/>
    </row>
    <row r="318" spans="1:8" ht="15.75">
      <c r="A318" s="165" t="s">
        <v>975</v>
      </c>
      <c r="B318" s="150" t="str">
        <f>IF($B$317="None Entered","None Entered",IF('07_GSM_WAP Profiles'!J6="","None Entered",'07_GSM_WAP Profiles'!J6))</f>
        <v>None Entered</v>
      </c>
      <c r="C318" s="151"/>
      <c r="D318" s="157"/>
      <c r="E318" s="131" t="s">
        <v>607</v>
      </c>
      <c r="F318" s="165" t="s">
        <v>1030</v>
      </c>
      <c r="G318" s="141"/>
      <c r="H318" s="141"/>
    </row>
    <row r="319" spans="1:8" ht="15.75">
      <c r="A319" s="165" t="s">
        <v>976</v>
      </c>
      <c r="B319" s="150" t="str">
        <f>IF($B$317="None Entered","None Entered",IF('07_GSM_WAP Profiles'!J7="","None Entered",'07_GSM_WAP Profiles'!J7))</f>
        <v>None Entered</v>
      </c>
      <c r="C319" s="151"/>
      <c r="D319" s="157"/>
      <c r="E319" s="131" t="s">
        <v>607</v>
      </c>
      <c r="F319" s="165" t="s">
        <v>1031</v>
      </c>
      <c r="G319" s="141"/>
      <c r="H319" s="141"/>
    </row>
    <row r="320" spans="1:8" ht="15.75">
      <c r="A320" s="165" t="s">
        <v>977</v>
      </c>
      <c r="B320" s="150" t="str">
        <f>IF($B$317="None Entered","None Entered",IF('07_GSM_WAP Profiles'!J8="","None Entered",'07_GSM_WAP Profiles'!J8))</f>
        <v>None Entered</v>
      </c>
      <c r="C320" s="151"/>
      <c r="D320" s="157"/>
      <c r="E320" s="131" t="s">
        <v>607</v>
      </c>
      <c r="F320" s="165" t="s">
        <v>1032</v>
      </c>
      <c r="G320" s="141"/>
      <c r="H320" s="141"/>
    </row>
    <row r="321" spans="1:8" ht="15.75">
      <c r="A321" s="165" t="s">
        <v>978</v>
      </c>
      <c r="B321" s="150" t="str">
        <f>IF($B$317="None Entered","None Entered",IF('07_GSM_WAP Profiles'!J9="","None Entered",'07_GSM_WAP Profiles'!J9))</f>
        <v>None Entered</v>
      </c>
      <c r="C321" s="151"/>
      <c r="D321" s="157"/>
      <c r="E321" s="131" t="s">
        <v>607</v>
      </c>
      <c r="F321" s="165" t="s">
        <v>1033</v>
      </c>
      <c r="G321" s="141"/>
      <c r="H321" s="141"/>
    </row>
    <row r="322" spans="1:8" ht="15.75">
      <c r="A322" s="165" t="s">
        <v>979</v>
      </c>
      <c r="B322" s="150" t="str">
        <f>IF($B$317="None Entered","None Entered",IF('07_GSM_WAP Profiles'!J10="","None Entered",'07_GSM_WAP Profiles'!J10))</f>
        <v>None Entered</v>
      </c>
      <c r="C322" s="151"/>
      <c r="D322" s="157"/>
      <c r="E322" s="131" t="s">
        <v>607</v>
      </c>
      <c r="F322" s="165" t="s">
        <v>1034</v>
      </c>
      <c r="G322" s="141"/>
      <c r="H322" s="141"/>
    </row>
    <row r="323" spans="1:8" ht="15.75">
      <c r="A323" s="165" t="s">
        <v>980</v>
      </c>
      <c r="B323" s="150" t="str">
        <f>IF($B$317="None Entered","None Entered",IF('07_GSM_WAP Profiles'!J11="","None Entered",'07_GSM_WAP Profiles'!J11))</f>
        <v>None Entered</v>
      </c>
      <c r="C323" s="151"/>
      <c r="D323" s="157"/>
      <c r="E323" s="131" t="s">
        <v>607</v>
      </c>
      <c r="F323" s="165" t="s">
        <v>857</v>
      </c>
      <c r="G323" s="141"/>
      <c r="H323" s="141"/>
    </row>
    <row r="324" spans="1:8" ht="15.75">
      <c r="A324" s="165" t="s">
        <v>981</v>
      </c>
      <c r="B324" s="150" t="str">
        <f>IF($B$317="None Entered","None Entered",IF('07_GSM_WAP Profiles'!J12="","None Entered",'07_GSM_WAP Profiles'!J12))</f>
        <v>None Entered</v>
      </c>
      <c r="C324" s="151"/>
      <c r="D324" s="157"/>
      <c r="E324" s="131" t="s">
        <v>607</v>
      </c>
      <c r="F324" s="165" t="s">
        <v>858</v>
      </c>
      <c r="G324" s="141"/>
      <c r="H324" s="141"/>
    </row>
    <row r="325" spans="1:8" ht="15.75">
      <c r="A325" s="165" t="s">
        <v>982</v>
      </c>
      <c r="B325" s="150" t="str">
        <f>IF($B$317="None Entered","None Entered",IF('07_GSM_WAP Profiles'!J13="","None Entered",'07_GSM_WAP Profiles'!J13))</f>
        <v>None Entered</v>
      </c>
      <c r="C325" s="151"/>
      <c r="D325" s="157"/>
      <c r="E325" s="131" t="s">
        <v>607</v>
      </c>
      <c r="F325" s="165" t="s">
        <v>859</v>
      </c>
      <c r="G325" s="141"/>
      <c r="H325" s="141"/>
    </row>
    <row r="326" spans="1:8" ht="15.75">
      <c r="A326" s="165" t="s">
        <v>983</v>
      </c>
      <c r="B326" s="150" t="str">
        <f>IF($B$317="None Entered","None Entered",IF('07_GSM_WAP Profiles'!J14="","None Entered",'07_GSM_WAP Profiles'!J14))</f>
        <v>None Entered</v>
      </c>
      <c r="C326" s="151"/>
      <c r="D326" s="157"/>
      <c r="E326" s="131" t="s">
        <v>607</v>
      </c>
      <c r="F326" s="165" t="s">
        <v>860</v>
      </c>
      <c r="G326" s="141"/>
      <c r="H326" s="141"/>
    </row>
    <row r="327" spans="1:8" ht="15.75">
      <c r="A327" s="165" t="s">
        <v>984</v>
      </c>
      <c r="B327" s="150" t="str">
        <f>IF($B$317="None Entered","None Entered",IF('07_GSM_WAP Profiles'!J15="","None Entered",'07_GSM_WAP Profiles'!J15))</f>
        <v>None Entered</v>
      </c>
      <c r="C327" s="151"/>
      <c r="D327" s="157"/>
      <c r="E327" s="131" t="s">
        <v>607</v>
      </c>
      <c r="F327" s="165" t="s">
        <v>861</v>
      </c>
      <c r="G327" s="141"/>
      <c r="H327" s="141"/>
    </row>
    <row r="328" spans="1:8" ht="15.75">
      <c r="A328" s="165" t="s">
        <v>985</v>
      </c>
      <c r="B328" s="150" t="str">
        <f>IF($B$317="None Entered","None Entered",IF('07_GSM_WAP Profiles'!J16="","None Entered",'07_GSM_WAP Profiles'!J16))</f>
        <v>None Entered</v>
      </c>
      <c r="C328" s="151"/>
      <c r="D328" s="157"/>
      <c r="E328" s="131" t="s">
        <v>607</v>
      </c>
      <c r="F328" s="165" t="s">
        <v>862</v>
      </c>
      <c r="G328" s="141"/>
      <c r="H328" s="141"/>
    </row>
    <row r="329" spans="1:8" ht="15.75">
      <c r="A329" s="165" t="s">
        <v>986</v>
      </c>
      <c r="B329" s="150" t="str">
        <f>IF($B$317="None Entered","None Entered",IF('07_GSM_WAP Profiles'!J17="","None Entered",CONCATENATE('07_GSM_WAP Profiles'!J17/60," Minutes")))</f>
        <v>None Entered</v>
      </c>
      <c r="C329" s="151"/>
      <c r="D329" s="157"/>
      <c r="E329" s="131" t="s">
        <v>607</v>
      </c>
      <c r="F329" s="165" t="s">
        <v>863</v>
      </c>
      <c r="G329" s="141"/>
      <c r="H329" s="141"/>
    </row>
    <row r="330" spans="1:8" ht="15.75">
      <c r="A330" s="165" t="s">
        <v>987</v>
      </c>
      <c r="B330" s="150" t="str">
        <f>IF($B$317="None Entered","None Entered",IF('07_GSM_WAP Profiles'!J18="","None Entered",'07_GSM_WAP Profiles'!J18))</f>
        <v>None Entered</v>
      </c>
      <c r="C330" s="151"/>
      <c r="D330" s="157"/>
      <c r="E330" s="131" t="s">
        <v>607</v>
      </c>
      <c r="F330" s="165" t="s">
        <v>864</v>
      </c>
      <c r="G330" s="141"/>
      <c r="H330" s="141"/>
    </row>
    <row r="331" spans="1:8" ht="15.75">
      <c r="A331" s="165" t="s">
        <v>988</v>
      </c>
      <c r="B331" s="150" t="str">
        <f>IF($B$317="None Entered","None Entered",IF('07_GSM_WAP Profiles'!J19="","None Entered",'07_GSM_WAP Profiles'!J19))</f>
        <v>None Entered</v>
      </c>
      <c r="C331" s="151"/>
      <c r="D331" s="157"/>
      <c r="E331" s="131" t="s">
        <v>607</v>
      </c>
      <c r="F331" s="165" t="s">
        <v>865</v>
      </c>
      <c r="G331" s="141"/>
      <c r="H331" s="141"/>
    </row>
    <row r="332" spans="1:8" ht="15.75">
      <c r="A332" s="165" t="s">
        <v>989</v>
      </c>
      <c r="B332" s="150" t="str">
        <f>IF($B$317="None Entered","None Entered",IF('07_GSM_WAP Profiles'!J20="","None Entered",'07_GSM_WAP Profiles'!J20))</f>
        <v>None Entered</v>
      </c>
      <c r="C332" s="151"/>
      <c r="D332" s="157"/>
      <c r="E332" s="131" t="s">
        <v>607</v>
      </c>
      <c r="F332" s="165" t="s">
        <v>866</v>
      </c>
      <c r="G332" s="141"/>
      <c r="H332" s="141"/>
    </row>
    <row r="333" spans="1:8" ht="15.75">
      <c r="A333" s="165" t="s">
        <v>990</v>
      </c>
      <c r="B333" s="150" t="str">
        <f>IF($B$317="None Entered","None Entered",IF('07_GSM_WAP Profiles'!J21="","None Entered",IF('07_GSM_WAP Profiles'!J21=9600,"9600 Baud Rate",IF('07_GSM_WAP Profiles'!J21=14400,"14400 Baud Rate",'07_GSM_WAP Profiles'!J21))))</f>
        <v>None Entered</v>
      </c>
      <c r="C333" s="166"/>
      <c r="D333" s="157"/>
      <c r="E333" s="131" t="s">
        <v>607</v>
      </c>
      <c r="F333" s="165" t="s">
        <v>867</v>
      </c>
      <c r="G333" s="141"/>
      <c r="H333" s="141"/>
    </row>
    <row r="334" spans="1:8" ht="15.75">
      <c r="A334" s="165" t="s">
        <v>991</v>
      </c>
      <c r="B334" s="150" t="str">
        <f>IF($B$317="None Entered","None Entered",IF('07_GSM_WAP Profiles'!J22="","None Entered",'07_GSM_WAP Profiles'!J22))</f>
        <v>None Entered</v>
      </c>
      <c r="C334" s="151"/>
      <c r="D334" s="157"/>
      <c r="E334" s="131" t="s">
        <v>607</v>
      </c>
      <c r="F334" s="165" t="s">
        <v>868</v>
      </c>
      <c r="G334" s="141"/>
      <c r="H334" s="141"/>
    </row>
    <row r="335" spans="1:8" ht="15.75">
      <c r="A335" s="165" t="s">
        <v>992</v>
      </c>
      <c r="B335" s="150" t="str">
        <f>IF($B$317="None Entered","None Entered",IF('07_GSM_WAP Profiles'!J23="","None Entered",'07_GSM_WAP Profiles'!J23))</f>
        <v>None Entered</v>
      </c>
      <c r="C335" s="151"/>
      <c r="D335" s="157"/>
      <c r="E335" s="131" t="s">
        <v>607</v>
      </c>
      <c r="F335" s="165" t="s">
        <v>869</v>
      </c>
      <c r="G335" s="141"/>
      <c r="H335" s="141"/>
    </row>
    <row r="336" spans="1:8" ht="15.75">
      <c r="A336" s="165" t="s">
        <v>993</v>
      </c>
      <c r="B336" s="150" t="str">
        <f>IF($B$317="None Entered","None Entered",IF('07_GSM_WAP Profiles'!J24="","None Entered",'07_GSM_WAP Profiles'!J24))</f>
        <v>None Entered</v>
      </c>
      <c r="C336" s="151"/>
      <c r="D336" s="157"/>
      <c r="E336" s="131" t="s">
        <v>607</v>
      </c>
      <c r="F336" s="165" t="s">
        <v>870</v>
      </c>
      <c r="G336" s="141"/>
      <c r="H336" s="141"/>
    </row>
    <row r="337" spans="1:8" ht="15.75">
      <c r="A337" s="165" t="s">
        <v>994</v>
      </c>
      <c r="B337" s="150" t="str">
        <f>IF($B$317="None Entered","None Entered",IF('07_GSM_WAP Profiles'!J25="","None Entered",'07_GSM_WAP Profiles'!J25))</f>
        <v>None Entered</v>
      </c>
      <c r="C337" s="151"/>
      <c r="D337" s="157"/>
      <c r="E337" s="131" t="s">
        <v>607</v>
      </c>
      <c r="F337" s="165" t="s">
        <v>871</v>
      </c>
      <c r="G337" s="141"/>
      <c r="H337" s="141"/>
    </row>
    <row r="338" spans="1:8" ht="15.75">
      <c r="A338" s="165" t="s">
        <v>995</v>
      </c>
      <c r="B338" s="150" t="str">
        <f>IF($B$317="None Entered","None Entered",IF('07_GSM_WAP Profiles'!J26="","None Entered",IF('07_GSM_WAP Profiles'!J26=9600,"9600 Baud Rate",IF('07_GSM_WAP Profiles'!J26=14400,"14400 Baud Rate",'07_GSM_WAP Profiles'!J26))))</f>
        <v>None Entered</v>
      </c>
      <c r="C338" s="151"/>
      <c r="D338" s="157"/>
      <c r="E338" s="131" t="s">
        <v>607</v>
      </c>
      <c r="F338" s="165" t="s">
        <v>872</v>
      </c>
      <c r="G338" s="141"/>
      <c r="H338" s="141"/>
    </row>
    <row r="339" spans="1:8" ht="15.75">
      <c r="A339" s="165" t="s">
        <v>996</v>
      </c>
      <c r="B339" s="150" t="str">
        <f>IF($B$317="None Entered","None Entered",IF('07_GSM_WAP Profiles'!J27="","None Entered",'07_GSM_WAP Profiles'!J27))</f>
        <v>None Entered</v>
      </c>
      <c r="C339" s="151"/>
      <c r="D339" s="157"/>
      <c r="E339" s="131" t="s">
        <v>607</v>
      </c>
      <c r="F339" s="165" t="s">
        <v>873</v>
      </c>
      <c r="G339" s="141"/>
      <c r="H339" s="141"/>
    </row>
    <row r="340" spans="1:8" ht="15.75">
      <c r="A340" s="165" t="s">
        <v>997</v>
      </c>
      <c r="B340" s="150" t="str">
        <f>IF($B$317="None Entered","None Entered",IF('07_GSM_WAP Profiles'!J28="","None Entered",'07_GSM_WAP Profiles'!J28))</f>
        <v>None Entered</v>
      </c>
      <c r="C340" s="151"/>
      <c r="D340" s="157"/>
      <c r="E340" s="131" t="s">
        <v>607</v>
      </c>
      <c r="F340" s="165" t="s">
        <v>874</v>
      </c>
      <c r="G340" s="141"/>
      <c r="H340" s="141"/>
    </row>
    <row r="341" spans="1:8" ht="15.75">
      <c r="A341" s="165" t="s">
        <v>998</v>
      </c>
      <c r="B341" s="150" t="str">
        <f>IF($B$317="None Entered","None Entered",IF('07_GSM_WAP Profiles'!J29="","None Entered",'07_GSM_WAP Profiles'!J29))</f>
        <v>None Entered</v>
      </c>
      <c r="C341" s="151"/>
      <c r="D341" s="157"/>
      <c r="E341" s="131" t="s">
        <v>607</v>
      </c>
      <c r="F341" s="165" t="s">
        <v>875</v>
      </c>
      <c r="G341" s="141"/>
      <c r="H341" s="141"/>
    </row>
    <row r="342" spans="1:8" ht="15.75">
      <c r="A342" s="165" t="s">
        <v>999</v>
      </c>
      <c r="B342" s="150" t="str">
        <f>IF($B$317="None Entered","None Entered",IF('07_GSM_WAP Profiles'!J30="","None Entered",'07_GSM_WAP Profiles'!J30))</f>
        <v>None Entered</v>
      </c>
      <c r="C342" s="151"/>
      <c r="D342" s="157"/>
      <c r="E342" s="131" t="s">
        <v>607</v>
      </c>
      <c r="F342" s="165" t="s">
        <v>876</v>
      </c>
      <c r="G342" s="141"/>
      <c r="H342" s="141"/>
    </row>
    <row r="343" spans="1:8" ht="15.75">
      <c r="A343" s="182" t="s">
        <v>587</v>
      </c>
      <c r="B343" s="179" t="s">
        <v>1467</v>
      </c>
      <c r="C343" s="180"/>
      <c r="D343" s="181"/>
      <c r="E343" s="138"/>
      <c r="F343" s="185"/>
      <c r="G343" s="141"/>
      <c r="H343" s="141"/>
    </row>
    <row r="344" spans="1:8" ht="15.75">
      <c r="A344" s="165" t="s">
        <v>1000</v>
      </c>
      <c r="B344" s="176" t="str">
        <f>IF('07_GSM_WAP Profiles'!K3="","No",'07_GSM_WAP Profiles'!K3)</f>
        <v>No</v>
      </c>
      <c r="C344" s="151" t="s">
        <v>600</v>
      </c>
      <c r="D344" s="132" t="s">
        <v>910</v>
      </c>
      <c r="E344" s="131" t="s">
        <v>1073</v>
      </c>
      <c r="F344" s="130" t="s">
        <v>656</v>
      </c>
      <c r="G344" s="141"/>
      <c r="H344" s="141"/>
    </row>
    <row r="345" spans="1:8" ht="15.75">
      <c r="A345" s="165" t="s">
        <v>1001</v>
      </c>
      <c r="B345" s="150" t="str">
        <f>IF('07_GSM_WAP Profiles'!K4="","Read and Write",IF('07_GSM_WAP Profiles'!K4="RW","Read and Write",IF('07_GSM_WAP Profiles'!K4="R","Read Only",'07_GSM_WAP Profiles'!K4)))</f>
        <v>Read and Write</v>
      </c>
      <c r="C345" s="151"/>
      <c r="D345" s="157"/>
      <c r="E345" s="131" t="s">
        <v>607</v>
      </c>
      <c r="F345" s="165" t="s">
        <v>355</v>
      </c>
      <c r="G345" s="141"/>
      <c r="H345" s="141"/>
    </row>
    <row r="346" spans="1:8" ht="15.75">
      <c r="A346" s="165" t="s">
        <v>1002</v>
      </c>
      <c r="B346" s="150" t="str">
        <f>IF('07_GSM_WAP Profiles'!K5="","None Entered",'07_GSM_WAP Profiles'!K5)</f>
        <v>None Entered</v>
      </c>
      <c r="C346" s="151"/>
      <c r="D346" s="157"/>
      <c r="E346" s="131" t="s">
        <v>607</v>
      </c>
      <c r="F346" s="165" t="s">
        <v>356</v>
      </c>
      <c r="G346" s="141"/>
      <c r="H346" s="141"/>
    </row>
    <row r="347" spans="1:8" ht="15.75">
      <c r="A347" s="165" t="s">
        <v>1003</v>
      </c>
      <c r="B347" s="150" t="str">
        <f>IF($B$346="None Entered","None Entered",IF('07_GSM_WAP Profiles'!K6="","None Entered",'07_GSM_WAP Profiles'!K6))</f>
        <v>None Entered</v>
      </c>
      <c r="C347" s="151"/>
      <c r="D347" s="157"/>
      <c r="E347" s="131" t="s">
        <v>607</v>
      </c>
      <c r="F347" s="165" t="s">
        <v>357</v>
      </c>
      <c r="G347" s="141"/>
      <c r="H347" s="141"/>
    </row>
    <row r="348" spans="1:8" ht="15.75">
      <c r="A348" s="165" t="s">
        <v>1004</v>
      </c>
      <c r="B348" s="150" t="str">
        <f>IF($B$346="None Entered","None Entered",IF('07_GSM_WAP Profiles'!K7="","None Entered",'07_GSM_WAP Profiles'!K7))</f>
        <v>None Entered</v>
      </c>
      <c r="C348" s="151"/>
      <c r="D348" s="157"/>
      <c r="E348" s="131" t="s">
        <v>607</v>
      </c>
      <c r="F348" s="165" t="s">
        <v>358</v>
      </c>
      <c r="G348" s="141"/>
      <c r="H348" s="141"/>
    </row>
    <row r="349" spans="1:8" ht="15.75">
      <c r="A349" s="165" t="s">
        <v>1005</v>
      </c>
      <c r="B349" s="150" t="str">
        <f>IF($B$346="None Entered","None Entered",IF('07_GSM_WAP Profiles'!K8="","None Entered",'07_GSM_WAP Profiles'!K8))</f>
        <v>None Entered</v>
      </c>
      <c r="C349" s="151"/>
      <c r="D349" s="157"/>
      <c r="E349" s="131" t="s">
        <v>607</v>
      </c>
      <c r="F349" s="165" t="s">
        <v>359</v>
      </c>
      <c r="G349" s="141"/>
      <c r="H349" s="141"/>
    </row>
    <row r="350" spans="1:8" ht="15.75">
      <c r="A350" s="165" t="s">
        <v>1006</v>
      </c>
      <c r="B350" s="150" t="str">
        <f>IF($B$346="None Entered","None Entered",IF('07_GSM_WAP Profiles'!K9="","None Entered",'07_GSM_WAP Profiles'!K9))</f>
        <v>None Entered</v>
      </c>
      <c r="C350" s="151"/>
      <c r="D350" s="157"/>
      <c r="E350" s="131" t="s">
        <v>607</v>
      </c>
      <c r="F350" s="165" t="s">
        <v>360</v>
      </c>
      <c r="G350" s="141"/>
      <c r="H350" s="141"/>
    </row>
    <row r="351" spans="1:8" ht="15.75">
      <c r="A351" s="165" t="s">
        <v>1007</v>
      </c>
      <c r="B351" s="150" t="str">
        <f>IF($B$346="None Entered","None Entered",IF('07_GSM_WAP Profiles'!K10="","None Entered",'07_GSM_WAP Profiles'!K10))</f>
        <v>None Entered</v>
      </c>
      <c r="C351" s="151"/>
      <c r="D351" s="157"/>
      <c r="E351" s="131" t="s">
        <v>607</v>
      </c>
      <c r="F351" s="165" t="s">
        <v>361</v>
      </c>
      <c r="G351" s="141"/>
      <c r="H351" s="141"/>
    </row>
    <row r="352" spans="1:8" ht="15.75">
      <c r="A352" s="165" t="s">
        <v>1008</v>
      </c>
      <c r="B352" s="150" t="str">
        <f>IF($B$346="None Entered","None Entered",IF('07_GSM_WAP Profiles'!K11="","None Entered",'07_GSM_WAP Profiles'!K11))</f>
        <v>None Entered</v>
      </c>
      <c r="C352" s="151"/>
      <c r="D352" s="157"/>
      <c r="E352" s="131" t="s">
        <v>607</v>
      </c>
      <c r="F352" s="165" t="s">
        <v>362</v>
      </c>
      <c r="G352" s="141"/>
      <c r="H352" s="141"/>
    </row>
    <row r="353" spans="1:8" ht="15.75">
      <c r="A353" s="165" t="s">
        <v>1009</v>
      </c>
      <c r="B353" s="150" t="str">
        <f>IF($B$346="None Entered","None Entered",IF('07_GSM_WAP Profiles'!K12="","None Entered",'07_GSM_WAP Profiles'!K12))</f>
        <v>None Entered</v>
      </c>
      <c r="C353" s="151"/>
      <c r="D353" s="157"/>
      <c r="E353" s="131" t="s">
        <v>607</v>
      </c>
      <c r="F353" s="165" t="s">
        <v>363</v>
      </c>
      <c r="G353" s="141"/>
      <c r="H353" s="141"/>
    </row>
    <row r="354" spans="1:8" ht="15.75">
      <c r="A354" s="165" t="s">
        <v>1010</v>
      </c>
      <c r="B354" s="150" t="str">
        <f>IF($B$346="None Entered","None Entered",IF('07_GSM_WAP Profiles'!K13="","None Entered",'07_GSM_WAP Profiles'!K13))</f>
        <v>None Entered</v>
      </c>
      <c r="C354" s="151"/>
      <c r="D354" s="157"/>
      <c r="E354" s="131" t="s">
        <v>607</v>
      </c>
      <c r="F354" s="165" t="s">
        <v>364</v>
      </c>
      <c r="G354" s="141"/>
      <c r="H354" s="141"/>
    </row>
    <row r="355" spans="1:8" ht="15.75">
      <c r="A355" s="165" t="s">
        <v>1011</v>
      </c>
      <c r="B355" s="150" t="str">
        <f>IF($B$346="None Entered","None Entered",IF('07_GSM_WAP Profiles'!K14="","None Entered",'07_GSM_WAP Profiles'!K14))</f>
        <v>None Entered</v>
      </c>
      <c r="C355" s="151"/>
      <c r="D355" s="157"/>
      <c r="E355" s="131" t="s">
        <v>607</v>
      </c>
      <c r="F355" s="165" t="s">
        <v>365</v>
      </c>
      <c r="G355" s="141"/>
      <c r="H355" s="141"/>
    </row>
    <row r="356" spans="1:8" ht="15.75">
      <c r="A356" s="165" t="s">
        <v>1012</v>
      </c>
      <c r="B356" s="150" t="str">
        <f>IF($B$346="None Entered","None Entered",IF('07_GSM_WAP Profiles'!K15="","None Entered",'07_GSM_WAP Profiles'!K15))</f>
        <v>None Entered</v>
      </c>
      <c r="C356" s="151"/>
      <c r="D356" s="157"/>
      <c r="E356" s="131" t="s">
        <v>607</v>
      </c>
      <c r="F356" s="165" t="s">
        <v>366</v>
      </c>
      <c r="G356" s="141"/>
      <c r="H356" s="141"/>
    </row>
    <row r="357" spans="1:8" ht="15.75">
      <c r="A357" s="165" t="s">
        <v>1013</v>
      </c>
      <c r="B357" s="150" t="str">
        <f>IF($B$346="None Entered","None Entered",IF('07_GSM_WAP Profiles'!K16="","None Entered",'07_GSM_WAP Profiles'!K16))</f>
        <v>None Entered</v>
      </c>
      <c r="C357" s="151"/>
      <c r="D357" s="157"/>
      <c r="E357" s="131" t="s">
        <v>607</v>
      </c>
      <c r="F357" s="165" t="s">
        <v>367</v>
      </c>
      <c r="G357" s="141"/>
      <c r="H357" s="141"/>
    </row>
    <row r="358" spans="1:8" ht="15.75">
      <c r="A358" s="165" t="s">
        <v>1014</v>
      </c>
      <c r="B358" s="150" t="str">
        <f>IF($B$346="None Entered","None Entered",IF('07_GSM_WAP Profiles'!K17="","None Entered",CONCATENATE('07_GSM_WAP Profiles'!K17/60," Minutes")))</f>
        <v>None Entered</v>
      </c>
      <c r="C358" s="151"/>
      <c r="D358" s="157"/>
      <c r="E358" s="131" t="s">
        <v>607</v>
      </c>
      <c r="F358" s="165" t="s">
        <v>368</v>
      </c>
      <c r="G358" s="141"/>
      <c r="H358" s="141"/>
    </row>
    <row r="359" spans="1:8" ht="15.75">
      <c r="A359" s="165" t="s">
        <v>1015</v>
      </c>
      <c r="B359" s="150" t="str">
        <f>IF($B$346="None Entered","None Entered",IF('07_GSM_WAP Profiles'!K18="","None Entered",'07_GSM_WAP Profiles'!K18))</f>
        <v>None Entered</v>
      </c>
      <c r="C359" s="151"/>
      <c r="D359" s="157"/>
      <c r="E359" s="131" t="s">
        <v>607</v>
      </c>
      <c r="F359" s="165" t="s">
        <v>369</v>
      </c>
      <c r="G359" s="141"/>
      <c r="H359" s="141"/>
    </row>
    <row r="360" spans="1:8" ht="15.75">
      <c r="A360" s="165" t="s">
        <v>1016</v>
      </c>
      <c r="B360" s="150" t="str">
        <f>IF($B$346="None Entered","None Entered",IF('07_GSM_WAP Profiles'!K19="","None Entered",'07_GSM_WAP Profiles'!K19))</f>
        <v>None Entered</v>
      </c>
      <c r="C360" s="151"/>
      <c r="D360" s="157"/>
      <c r="E360" s="131" t="s">
        <v>607</v>
      </c>
      <c r="F360" s="165" t="s">
        <v>370</v>
      </c>
      <c r="G360" s="141"/>
      <c r="H360" s="141"/>
    </row>
    <row r="361" spans="1:8" ht="15.75">
      <c r="A361" s="165" t="s">
        <v>1017</v>
      </c>
      <c r="B361" s="150" t="str">
        <f>IF($B$346="None Entered","None Entered",IF('07_GSM_WAP Profiles'!K20="","None Entered",'07_GSM_WAP Profiles'!K20))</f>
        <v>None Entered</v>
      </c>
      <c r="C361" s="151"/>
      <c r="D361" s="157"/>
      <c r="E361" s="131" t="s">
        <v>607</v>
      </c>
      <c r="F361" s="165" t="s">
        <v>371</v>
      </c>
      <c r="G361" s="141"/>
      <c r="H361" s="141"/>
    </row>
    <row r="362" spans="1:8" ht="15.75">
      <c r="A362" s="165" t="s">
        <v>1018</v>
      </c>
      <c r="B362" s="150" t="str">
        <f>IF($B$346="None Entered","None Entered",IF('07_GSM_WAP Profiles'!K21="","None Entered",IF('07_GSM_WAP Profiles'!K21=9600,"9600 Baud Rate",IF('07_GSM_WAP Profiles'!K21=14400,"14400 Baud Rate",'07_GSM_WAP Profiles'!K21))))</f>
        <v>None Entered</v>
      </c>
      <c r="C362" s="166"/>
      <c r="D362" s="157"/>
      <c r="E362" s="131" t="s">
        <v>607</v>
      </c>
      <c r="F362" s="165" t="s">
        <v>372</v>
      </c>
      <c r="G362" s="141"/>
      <c r="H362" s="141"/>
    </row>
    <row r="363" spans="1:8" ht="15.75">
      <c r="A363" s="165" t="s">
        <v>1019</v>
      </c>
      <c r="B363" s="150" t="str">
        <f>IF($B$346="None Entered","None Entered",IF('07_GSM_WAP Profiles'!K22="","None Entered",'07_GSM_WAP Profiles'!K22))</f>
        <v>None Entered</v>
      </c>
      <c r="C363" s="151"/>
      <c r="D363" s="157"/>
      <c r="E363" s="131" t="s">
        <v>607</v>
      </c>
      <c r="F363" s="165" t="s">
        <v>373</v>
      </c>
      <c r="G363" s="141"/>
      <c r="H363" s="141"/>
    </row>
    <row r="364" spans="1:8" ht="15.75">
      <c r="A364" s="165" t="s">
        <v>1020</v>
      </c>
      <c r="B364" s="150" t="str">
        <f>IF($B$346="None Entered","None Entered",IF('07_GSM_WAP Profiles'!K23="","None Entered",'07_GSM_WAP Profiles'!K23))</f>
        <v>None Entered</v>
      </c>
      <c r="C364" s="151"/>
      <c r="D364" s="157"/>
      <c r="E364" s="131" t="s">
        <v>607</v>
      </c>
      <c r="F364" s="165" t="s">
        <v>374</v>
      </c>
      <c r="G364" s="141"/>
      <c r="H364" s="141"/>
    </row>
    <row r="365" spans="1:8" ht="15.75">
      <c r="A365" s="165" t="s">
        <v>1021</v>
      </c>
      <c r="B365" s="150" t="str">
        <f>IF($B$346="None Entered","None Entered",IF('07_GSM_WAP Profiles'!K24="","None Entered",'07_GSM_WAP Profiles'!K24))</f>
        <v>None Entered</v>
      </c>
      <c r="C365" s="151"/>
      <c r="D365" s="157"/>
      <c r="E365" s="131" t="s">
        <v>607</v>
      </c>
      <c r="F365" s="165" t="s">
        <v>375</v>
      </c>
      <c r="G365" s="141"/>
      <c r="H365" s="141"/>
    </row>
    <row r="366" spans="1:8" ht="15.75">
      <c r="A366" s="165" t="s">
        <v>1022</v>
      </c>
      <c r="B366" s="150" t="str">
        <f>IF($B$346="None Entered","None Entered",IF('07_GSM_WAP Profiles'!K25="","None Entered",'07_GSM_WAP Profiles'!K25))</f>
        <v>None Entered</v>
      </c>
      <c r="C366" s="151"/>
      <c r="D366" s="157"/>
      <c r="E366" s="131" t="s">
        <v>607</v>
      </c>
      <c r="F366" s="165" t="s">
        <v>376</v>
      </c>
      <c r="G366" s="141"/>
      <c r="H366" s="141"/>
    </row>
    <row r="367" spans="1:8" ht="15.75">
      <c r="A367" s="165" t="s">
        <v>1023</v>
      </c>
      <c r="B367" s="150" t="str">
        <f>IF($B$346="None Entered","None Entered",IF('07_GSM_WAP Profiles'!K26="","None Entered",IF('07_GSM_WAP Profiles'!K26=9600,"9600 Baud Rate",IF('07_GSM_WAP Profiles'!K26=14400,"14400 Baud Rate",'07_GSM_WAP Profiles'!K26))))</f>
        <v>None Entered</v>
      </c>
      <c r="C367" s="151"/>
      <c r="D367" s="157"/>
      <c r="E367" s="131" t="s">
        <v>607</v>
      </c>
      <c r="F367" s="165" t="s">
        <v>377</v>
      </c>
      <c r="G367" s="141"/>
      <c r="H367" s="141"/>
    </row>
    <row r="368" spans="1:8" ht="15.75">
      <c r="A368" s="165" t="s">
        <v>1024</v>
      </c>
      <c r="B368" s="150" t="str">
        <f>IF($B$346="None Entered","None Entered",IF('07_GSM_WAP Profiles'!K27="","None Entered",'07_GSM_WAP Profiles'!K27))</f>
        <v>None Entered</v>
      </c>
      <c r="C368" s="151"/>
      <c r="D368" s="157"/>
      <c r="E368" s="131" t="s">
        <v>607</v>
      </c>
      <c r="F368" s="165" t="s">
        <v>378</v>
      </c>
      <c r="G368" s="141"/>
      <c r="H368" s="141"/>
    </row>
    <row r="369" spans="1:8" ht="15.75">
      <c r="A369" s="165" t="s">
        <v>1025</v>
      </c>
      <c r="B369" s="150" t="str">
        <f>IF($B$346="None Entered","None Entered",IF('07_GSM_WAP Profiles'!K28="","None Entered",'07_GSM_WAP Profiles'!K28))</f>
        <v>None Entered</v>
      </c>
      <c r="C369" s="151"/>
      <c r="D369" s="157"/>
      <c r="E369" s="131" t="s">
        <v>607</v>
      </c>
      <c r="F369" s="165" t="s">
        <v>379</v>
      </c>
      <c r="G369" s="141"/>
      <c r="H369" s="141"/>
    </row>
    <row r="370" spans="1:8" ht="15.75">
      <c r="A370" s="165" t="s">
        <v>1026</v>
      </c>
      <c r="B370" s="150" t="str">
        <f>IF($B$346="None Entered","None Entered",IF('07_GSM_WAP Profiles'!K29="","None Entered",'07_GSM_WAP Profiles'!K29))</f>
        <v>None Entered</v>
      </c>
      <c r="C370" s="151"/>
      <c r="D370" s="157"/>
      <c r="E370" s="131" t="s">
        <v>607</v>
      </c>
      <c r="F370" s="165" t="s">
        <v>380</v>
      </c>
      <c r="G370" s="141"/>
      <c r="H370" s="141"/>
    </row>
    <row r="371" spans="1:8" ht="15.75">
      <c r="A371" s="165" t="s">
        <v>1027</v>
      </c>
      <c r="B371" s="150" t="str">
        <f>IF($B$346="None Entered","None Entered",IF('07_GSM_WAP Profiles'!K30="","None Entered",'07_GSM_WAP Profiles'!K30))</f>
        <v>None Entered</v>
      </c>
      <c r="C371" s="151"/>
      <c r="D371" s="157"/>
      <c r="E371" s="131" t="s">
        <v>607</v>
      </c>
      <c r="F371" s="165" t="s">
        <v>381</v>
      </c>
      <c r="G371" s="141"/>
      <c r="H371" s="141"/>
    </row>
    <row r="372" spans="1:8" ht="15.75">
      <c r="A372" s="182" t="s">
        <v>587</v>
      </c>
      <c r="B372" s="216" t="s">
        <v>1468</v>
      </c>
      <c r="C372" s="180"/>
      <c r="D372" s="181"/>
      <c r="E372" s="138"/>
      <c r="F372" s="185"/>
      <c r="G372" s="141"/>
      <c r="H372" s="141"/>
    </row>
    <row r="373" spans="1:8" ht="15.75">
      <c r="A373" s="165" t="s">
        <v>1138</v>
      </c>
      <c r="B373" s="150" t="str">
        <f>IF('07_GSM_WAP Profiles'!L3="","No",'07_GSM_WAP Profiles'!L3)</f>
        <v>No</v>
      </c>
      <c r="C373" s="151" t="s">
        <v>600</v>
      </c>
      <c r="D373" s="132" t="s">
        <v>910</v>
      </c>
      <c r="E373" s="131" t="s">
        <v>1073</v>
      </c>
      <c r="F373" s="130" t="s">
        <v>657</v>
      </c>
      <c r="G373" s="141"/>
      <c r="H373" s="141"/>
    </row>
    <row r="374" spans="1:8" ht="15.75">
      <c r="A374" s="165" t="s">
        <v>1139</v>
      </c>
      <c r="B374" s="150" t="str">
        <f>IF('07_GSM_WAP Profiles'!L4="","Read and Write",IF('07_GSM_WAP Profiles'!L4="RW","Read and Write",IF('07_GSM_WAP Profiles'!L4="R","Read Only",'07_GSM_WAP Profiles'!L4)))</f>
        <v>Read and Write</v>
      </c>
      <c r="C374" s="151"/>
      <c r="D374" s="157"/>
      <c r="E374" s="131" t="s">
        <v>607</v>
      </c>
      <c r="F374" s="165" t="s">
        <v>382</v>
      </c>
      <c r="G374" s="141"/>
      <c r="H374" s="141"/>
    </row>
    <row r="375" spans="1:8" ht="15.75">
      <c r="A375" s="165" t="s">
        <v>1140</v>
      </c>
      <c r="B375" s="150" t="str">
        <f>IF('07_GSM_WAP Profiles'!L5="","None Entered",'07_GSM_WAP Profiles'!L5)</f>
        <v>None Entered</v>
      </c>
      <c r="C375" s="151"/>
      <c r="D375" s="157"/>
      <c r="E375" s="131" t="s">
        <v>607</v>
      </c>
      <c r="F375" s="165" t="s">
        <v>383</v>
      </c>
      <c r="G375" s="141"/>
      <c r="H375" s="141"/>
    </row>
    <row r="376" spans="1:8" ht="15.75">
      <c r="A376" s="165" t="s">
        <v>1141</v>
      </c>
      <c r="B376" s="150" t="str">
        <f>IF($B$375="None Entered","None Entered",IF('07_GSM_WAP Profiles'!L6="","None Entered",'07_GSM_WAP Profiles'!L6))</f>
        <v>None Entered</v>
      </c>
      <c r="C376" s="151"/>
      <c r="D376" s="157"/>
      <c r="E376" s="131" t="s">
        <v>607</v>
      </c>
      <c r="F376" s="165" t="s">
        <v>384</v>
      </c>
      <c r="G376" s="141"/>
      <c r="H376" s="141"/>
    </row>
    <row r="377" spans="1:8" ht="15.75">
      <c r="A377" s="165" t="s">
        <v>1142</v>
      </c>
      <c r="B377" s="150" t="str">
        <f>IF($B$375="None Entered","None Entered",IF('07_GSM_WAP Profiles'!L7="","None Entered",'07_GSM_WAP Profiles'!L7))</f>
        <v>None Entered</v>
      </c>
      <c r="C377" s="151"/>
      <c r="D377" s="157"/>
      <c r="E377" s="131" t="s">
        <v>607</v>
      </c>
      <c r="F377" s="165" t="s">
        <v>385</v>
      </c>
      <c r="G377" s="141"/>
      <c r="H377" s="141"/>
    </row>
    <row r="378" spans="1:8" ht="15.75">
      <c r="A378" s="165" t="s">
        <v>1143</v>
      </c>
      <c r="B378" s="150" t="str">
        <f>IF($B$375="None Entered","None Entered",IF('07_GSM_WAP Profiles'!L8="","None Entered",'07_GSM_WAP Profiles'!L8))</f>
        <v>None Entered</v>
      </c>
      <c r="C378" s="151"/>
      <c r="D378" s="157"/>
      <c r="E378" s="131" t="s">
        <v>607</v>
      </c>
      <c r="F378" s="165" t="s">
        <v>386</v>
      </c>
      <c r="G378" s="141"/>
      <c r="H378" s="141"/>
    </row>
    <row r="379" spans="1:8" ht="15.75">
      <c r="A379" s="165" t="s">
        <v>1144</v>
      </c>
      <c r="B379" s="150" t="str">
        <f>IF($B$375="None Entered","None Entered",IF('07_GSM_WAP Profiles'!L9="","None Entered",'07_GSM_WAP Profiles'!L9))</f>
        <v>None Entered</v>
      </c>
      <c r="C379" s="151"/>
      <c r="D379" s="157"/>
      <c r="E379" s="131" t="s">
        <v>607</v>
      </c>
      <c r="F379" s="165" t="s">
        <v>387</v>
      </c>
      <c r="G379" s="141"/>
      <c r="H379" s="141"/>
    </row>
    <row r="380" spans="1:8" ht="15.75">
      <c r="A380" s="165" t="s">
        <v>1145</v>
      </c>
      <c r="B380" s="150" t="str">
        <f>IF($B$375="None Entered","None Entered",IF('07_GSM_WAP Profiles'!L10="","None Entered",'07_GSM_WAP Profiles'!L10))</f>
        <v>None Entered</v>
      </c>
      <c r="C380" s="151"/>
      <c r="D380" s="157"/>
      <c r="E380" s="131" t="s">
        <v>607</v>
      </c>
      <c r="F380" s="165" t="s">
        <v>388</v>
      </c>
      <c r="G380" s="141"/>
      <c r="H380" s="141"/>
    </row>
    <row r="381" spans="1:8" ht="15.75">
      <c r="A381" s="165" t="s">
        <v>1146</v>
      </c>
      <c r="B381" s="150" t="str">
        <f>IF($B$375="None Entered","None Entered",IF('07_GSM_WAP Profiles'!L11="","None Entered",'07_GSM_WAP Profiles'!L11))</f>
        <v>None Entered</v>
      </c>
      <c r="C381" s="151"/>
      <c r="D381" s="157"/>
      <c r="E381" s="131" t="s">
        <v>607</v>
      </c>
      <c r="F381" s="165" t="s">
        <v>389</v>
      </c>
      <c r="G381" s="141"/>
      <c r="H381" s="141"/>
    </row>
    <row r="382" spans="1:8" ht="15.75">
      <c r="A382" s="165" t="s">
        <v>1147</v>
      </c>
      <c r="B382" s="150" t="str">
        <f>IF($B$375="None Entered","None Entered",IF('07_GSM_WAP Profiles'!L12="","None Entered",'07_GSM_WAP Profiles'!L12))</f>
        <v>None Entered</v>
      </c>
      <c r="C382" s="151"/>
      <c r="D382" s="157"/>
      <c r="E382" s="131" t="s">
        <v>607</v>
      </c>
      <c r="F382" s="165" t="s">
        <v>390</v>
      </c>
      <c r="G382" s="141"/>
      <c r="H382" s="141"/>
    </row>
    <row r="383" spans="1:8" ht="15.75">
      <c r="A383" s="165" t="s">
        <v>57</v>
      </c>
      <c r="B383" s="150" t="str">
        <f>IF($B$375="None Entered","None Entered",IF('07_GSM_WAP Profiles'!L13="","None Entered",'07_GSM_WAP Profiles'!L13))</f>
        <v>None Entered</v>
      </c>
      <c r="C383" s="151"/>
      <c r="D383" s="157"/>
      <c r="E383" s="131" t="s">
        <v>607</v>
      </c>
      <c r="F383" s="165" t="s">
        <v>1120</v>
      </c>
      <c r="G383" s="141"/>
      <c r="H383" s="141"/>
    </row>
    <row r="384" spans="1:8" ht="15.75">
      <c r="A384" s="165" t="s">
        <v>58</v>
      </c>
      <c r="B384" s="150" t="str">
        <f>IF($B$375="None Entered","None Entered",IF('07_GSM_WAP Profiles'!L14="","None Entered",'07_GSM_WAP Profiles'!L14))</f>
        <v>None Entered</v>
      </c>
      <c r="C384" s="151"/>
      <c r="D384" s="157"/>
      <c r="E384" s="131" t="s">
        <v>607</v>
      </c>
      <c r="F384" s="165" t="s">
        <v>1121</v>
      </c>
      <c r="G384" s="141"/>
      <c r="H384" s="141"/>
    </row>
    <row r="385" spans="1:8" ht="15.75">
      <c r="A385" s="165" t="s">
        <v>59</v>
      </c>
      <c r="B385" s="150" t="str">
        <f>IF($B$375="None Entered","None Entered",IF('07_GSM_WAP Profiles'!L15="","None Entered",'07_GSM_WAP Profiles'!L15))</f>
        <v>None Entered</v>
      </c>
      <c r="C385" s="151"/>
      <c r="D385" s="157"/>
      <c r="E385" s="131" t="s">
        <v>607</v>
      </c>
      <c r="F385" s="165" t="s">
        <v>1122</v>
      </c>
      <c r="G385" s="141"/>
      <c r="H385" s="141"/>
    </row>
    <row r="386" spans="1:8" ht="15.75">
      <c r="A386" s="165" t="s">
        <v>60</v>
      </c>
      <c r="B386" s="150" t="str">
        <f>IF($B$375="None Entered","None Entered",IF('07_GSM_WAP Profiles'!L16="","None Entered",'07_GSM_WAP Profiles'!L16))</f>
        <v>None Entered</v>
      </c>
      <c r="C386" s="151"/>
      <c r="D386" s="157"/>
      <c r="E386" s="131" t="s">
        <v>607</v>
      </c>
      <c r="F386" s="165" t="s">
        <v>1123</v>
      </c>
      <c r="G386" s="141"/>
      <c r="H386" s="141"/>
    </row>
    <row r="387" spans="1:8" ht="15.75">
      <c r="A387" s="165" t="s">
        <v>61</v>
      </c>
      <c r="B387" s="150" t="str">
        <f>IF($B$375="None Entered","None Entered",IF('07_GSM_WAP Profiles'!L17="","None Entered",CONCATENATE('07_GSM_WAP Profiles'!L17/60," Minutes")))</f>
        <v>None Entered</v>
      </c>
      <c r="C387" s="151"/>
      <c r="D387" s="157"/>
      <c r="E387" s="131" t="s">
        <v>607</v>
      </c>
      <c r="F387" s="165" t="s">
        <v>1124</v>
      </c>
      <c r="G387" s="141"/>
      <c r="H387" s="141"/>
    </row>
    <row r="388" spans="1:8" ht="15.75">
      <c r="A388" s="165" t="s">
        <v>62</v>
      </c>
      <c r="B388" s="150" t="str">
        <f>IF($B$375="None Entered","None Entered",IF('07_GSM_WAP Profiles'!L18="","None Entered",'07_GSM_WAP Profiles'!L18))</f>
        <v>None Entered</v>
      </c>
      <c r="C388" s="151"/>
      <c r="D388" s="157"/>
      <c r="E388" s="131" t="s">
        <v>607</v>
      </c>
      <c r="F388" s="165" t="s">
        <v>1125</v>
      </c>
      <c r="G388" s="141"/>
      <c r="H388" s="141"/>
    </row>
    <row r="389" spans="1:8" ht="15.75">
      <c r="A389" s="165" t="s">
        <v>63</v>
      </c>
      <c r="B389" s="150" t="str">
        <f>IF($B$375="None Entered","None Entered",IF('07_GSM_WAP Profiles'!L19="","None Entered",'07_GSM_WAP Profiles'!L19))</f>
        <v>None Entered</v>
      </c>
      <c r="C389" s="151"/>
      <c r="D389" s="157"/>
      <c r="E389" s="131" t="s">
        <v>607</v>
      </c>
      <c r="F389" s="165" t="s">
        <v>1126</v>
      </c>
      <c r="G389" s="141"/>
      <c r="H389" s="141"/>
    </row>
    <row r="390" spans="1:8" ht="15.75">
      <c r="A390" s="165" t="s">
        <v>64</v>
      </c>
      <c r="B390" s="150" t="str">
        <f>IF($B$375="None Entered","None Entered",IF('07_GSM_WAP Profiles'!L20="","None Entered",'07_GSM_WAP Profiles'!L20))</f>
        <v>None Entered</v>
      </c>
      <c r="C390" s="151"/>
      <c r="D390" s="157"/>
      <c r="E390" s="131" t="s">
        <v>607</v>
      </c>
      <c r="F390" s="165" t="s">
        <v>1127</v>
      </c>
      <c r="G390" s="141"/>
      <c r="H390" s="141"/>
    </row>
    <row r="391" spans="1:8" ht="15.75">
      <c r="A391" s="165" t="s">
        <v>65</v>
      </c>
      <c r="B391" s="150" t="str">
        <f>IF($B$375="None Entered","None Entered",IF('07_GSM_WAP Profiles'!L21="","None Entered",IF('07_GSM_WAP Profiles'!L21=9600,"9600 Baud Rate",IF('07_GSM_WAP Profiles'!L21=14400,"14400 Baud Rate",'07_GSM_WAP Profiles'!L21))))</f>
        <v>None Entered</v>
      </c>
      <c r="C391" s="166"/>
      <c r="D391" s="157"/>
      <c r="E391" s="131" t="s">
        <v>607</v>
      </c>
      <c r="F391" s="165" t="s">
        <v>1128</v>
      </c>
      <c r="G391" s="141"/>
      <c r="H391" s="141"/>
    </row>
    <row r="392" spans="1:8" ht="15.75">
      <c r="A392" s="165" t="s">
        <v>66</v>
      </c>
      <c r="B392" s="150" t="str">
        <f>IF($B$375="None Entered","None Entered",IF('07_GSM_WAP Profiles'!L22="","None Entered",'07_GSM_WAP Profiles'!L22))</f>
        <v>None Entered</v>
      </c>
      <c r="C392" s="151"/>
      <c r="D392" s="157"/>
      <c r="E392" s="131" t="s">
        <v>607</v>
      </c>
      <c r="F392" s="165" t="s">
        <v>1129</v>
      </c>
      <c r="G392" s="141"/>
      <c r="H392" s="141"/>
    </row>
    <row r="393" spans="1:8" ht="15.75">
      <c r="A393" s="165" t="s">
        <v>67</v>
      </c>
      <c r="B393" s="150" t="str">
        <f>IF($B$375="None Entered","None Entered",IF('07_GSM_WAP Profiles'!L23="","None Entered",'07_GSM_WAP Profiles'!L23))</f>
        <v>None Entered</v>
      </c>
      <c r="C393" s="151"/>
      <c r="D393" s="157"/>
      <c r="E393" s="131" t="s">
        <v>607</v>
      </c>
      <c r="F393" s="165" t="s">
        <v>1130</v>
      </c>
      <c r="G393" s="141"/>
      <c r="H393" s="141"/>
    </row>
    <row r="394" spans="1:8" ht="15.75">
      <c r="A394" s="165" t="s">
        <v>68</v>
      </c>
      <c r="B394" s="150" t="str">
        <f>IF($B$375="None Entered","None Entered",IF('07_GSM_WAP Profiles'!L24="","None Entered",'07_GSM_WAP Profiles'!L24))</f>
        <v>None Entered</v>
      </c>
      <c r="C394" s="151"/>
      <c r="D394" s="157"/>
      <c r="E394" s="131" t="s">
        <v>607</v>
      </c>
      <c r="F394" s="165" t="s">
        <v>1131</v>
      </c>
      <c r="G394" s="141"/>
      <c r="H394" s="141"/>
    </row>
    <row r="395" spans="1:8" ht="15.75">
      <c r="A395" s="165" t="s">
        <v>69</v>
      </c>
      <c r="B395" s="150" t="str">
        <f>IF($B$375="None Entered","None Entered",IF('07_GSM_WAP Profiles'!L25="","None Entered",'07_GSM_WAP Profiles'!L25))</f>
        <v>None Entered</v>
      </c>
      <c r="C395" s="151"/>
      <c r="D395" s="157"/>
      <c r="E395" s="131" t="s">
        <v>607</v>
      </c>
      <c r="F395" s="165" t="s">
        <v>1132</v>
      </c>
      <c r="G395" s="141"/>
      <c r="H395" s="141"/>
    </row>
    <row r="396" spans="1:8" ht="15.75">
      <c r="A396" s="165" t="s">
        <v>70</v>
      </c>
      <c r="B396" s="150" t="str">
        <f>IF($B$375="None Entered","None Entered",IF('07_GSM_WAP Profiles'!L26="","None Entered",IF('07_GSM_WAP Profiles'!L26=9600,"9600 Baud Rate",IF('07_GSM_WAP Profiles'!L26=14400,"14400 Baud Rate",'07_GSM_WAP Profiles'!L26))))</f>
        <v>None Entered</v>
      </c>
      <c r="C396" s="151"/>
      <c r="D396" s="157"/>
      <c r="E396" s="131" t="s">
        <v>607</v>
      </c>
      <c r="F396" s="165" t="s">
        <v>1133</v>
      </c>
      <c r="G396" s="141"/>
      <c r="H396" s="141"/>
    </row>
    <row r="397" spans="1:8" ht="15.75">
      <c r="A397" s="165" t="s">
        <v>71</v>
      </c>
      <c r="B397" s="150" t="str">
        <f>IF($B$375="None Entered","None Entered",IF('07_GSM_WAP Profiles'!L27="","None Entered",'07_GSM_WAP Profiles'!L27))</f>
        <v>None Entered</v>
      </c>
      <c r="C397" s="151"/>
      <c r="D397" s="157"/>
      <c r="E397" s="131" t="s">
        <v>607</v>
      </c>
      <c r="F397" s="165" t="s">
        <v>1134</v>
      </c>
      <c r="G397" s="141"/>
      <c r="H397" s="141"/>
    </row>
    <row r="398" spans="1:8" ht="15.75">
      <c r="A398" s="165" t="s">
        <v>72</v>
      </c>
      <c r="B398" s="150" t="str">
        <f>IF($B$375="None Entered","None Entered",IF('07_GSM_WAP Profiles'!L28="","None Entered",'07_GSM_WAP Profiles'!L28))</f>
        <v>None Entered</v>
      </c>
      <c r="C398" s="151"/>
      <c r="D398" s="157"/>
      <c r="E398" s="131" t="s">
        <v>607</v>
      </c>
      <c r="F398" s="165" t="s">
        <v>1135</v>
      </c>
      <c r="G398" s="141"/>
      <c r="H398" s="141"/>
    </row>
    <row r="399" spans="1:8" ht="15.75">
      <c r="A399" s="165" t="s">
        <v>73</v>
      </c>
      <c r="B399" s="150" t="str">
        <f>IF($B$375="None Entered","None Entered",IF('07_GSM_WAP Profiles'!L29="","None Entered",'07_GSM_WAP Profiles'!L29))</f>
        <v>None Entered</v>
      </c>
      <c r="C399" s="151"/>
      <c r="D399" s="157"/>
      <c r="E399" s="131" t="s">
        <v>607</v>
      </c>
      <c r="F399" s="165" t="s">
        <v>1136</v>
      </c>
      <c r="G399" s="141"/>
      <c r="H399" s="141"/>
    </row>
    <row r="400" spans="1:8" ht="15.75">
      <c r="A400" s="165" t="s">
        <v>74</v>
      </c>
      <c r="B400" s="150" t="str">
        <f>IF($B$375="None Entered","None Entered",IF('07_GSM_WAP Profiles'!L30="","None Entered",'07_GSM_WAP Profiles'!L30))</f>
        <v>None Entered</v>
      </c>
      <c r="C400" s="151"/>
      <c r="D400" s="157"/>
      <c r="E400" s="131" t="s">
        <v>607</v>
      </c>
      <c r="F400" s="165" t="s">
        <v>1137</v>
      </c>
      <c r="G400" s="141"/>
      <c r="H400" s="141"/>
    </row>
    <row r="401" spans="1:8" ht="15.75">
      <c r="A401" s="182" t="s">
        <v>587</v>
      </c>
      <c r="B401" s="216" t="s">
        <v>1469</v>
      </c>
      <c r="C401" s="180"/>
      <c r="D401" s="181"/>
      <c r="E401" s="138"/>
      <c r="F401" s="185"/>
      <c r="G401" s="141"/>
      <c r="H401" s="141"/>
    </row>
    <row r="402" spans="1:8" ht="15.75">
      <c r="A402" s="165" t="s">
        <v>75</v>
      </c>
      <c r="B402" s="150" t="str">
        <f>IF('07_GSM_WAP Profiles'!M3="","No",'07_GSM_WAP Profiles'!M3)</f>
        <v>No</v>
      </c>
      <c r="C402" s="151" t="s">
        <v>600</v>
      </c>
      <c r="D402" s="132" t="s">
        <v>910</v>
      </c>
      <c r="E402" s="131" t="s">
        <v>1073</v>
      </c>
      <c r="F402" s="130" t="s">
        <v>911</v>
      </c>
      <c r="G402" s="141"/>
      <c r="H402" s="141"/>
    </row>
    <row r="403" spans="1:8" ht="15.75">
      <c r="A403" s="165" t="s">
        <v>76</v>
      </c>
      <c r="B403" s="150" t="str">
        <f>IF('07_GSM_WAP Profiles'!M4="","Read and Write",IF('07_GSM_WAP Profiles'!M4="RW","Read and Write",IF('07_GSM_WAP Profiles'!M4="R","Read Only",'07_GSM_WAP Profiles'!M4)))</f>
        <v>Read and Write</v>
      </c>
      <c r="C403" s="151"/>
      <c r="D403" s="157"/>
      <c r="E403" s="131" t="s">
        <v>607</v>
      </c>
      <c r="F403" s="165" t="s">
        <v>883</v>
      </c>
      <c r="G403" s="141"/>
      <c r="H403" s="141"/>
    </row>
    <row r="404" spans="1:8" ht="15.75">
      <c r="A404" s="165" t="s">
        <v>77</v>
      </c>
      <c r="B404" s="150" t="str">
        <f>IF('07_GSM_WAP Profiles'!M5="","None Entered",'07_GSM_WAP Profiles'!M5)</f>
        <v>None Entered</v>
      </c>
      <c r="C404" s="151"/>
      <c r="D404" s="157"/>
      <c r="E404" s="131" t="s">
        <v>607</v>
      </c>
      <c r="F404" s="165" t="s">
        <v>884</v>
      </c>
      <c r="G404" s="141"/>
      <c r="H404" s="141"/>
    </row>
    <row r="405" spans="1:8" ht="15.75">
      <c r="A405" s="165" t="s">
        <v>78</v>
      </c>
      <c r="B405" s="150" t="str">
        <f>IF($B$404="None Entered","None Entered",IF('07_GSM_WAP Profiles'!M6="","None Entered",'07_GSM_WAP Profiles'!M6))</f>
        <v>None Entered</v>
      </c>
      <c r="C405" s="151"/>
      <c r="D405" s="157"/>
      <c r="E405" s="131" t="s">
        <v>607</v>
      </c>
      <c r="F405" s="165" t="s">
        <v>885</v>
      </c>
      <c r="G405" s="141"/>
      <c r="H405" s="141"/>
    </row>
    <row r="406" spans="1:8" ht="15.75">
      <c r="A406" s="165" t="s">
        <v>79</v>
      </c>
      <c r="B406" s="150" t="str">
        <f>IF($B$404="None Entered","None Entered",IF('07_GSM_WAP Profiles'!M7="","None Entered",'07_GSM_WAP Profiles'!M7))</f>
        <v>None Entered</v>
      </c>
      <c r="C406" s="151"/>
      <c r="D406" s="157"/>
      <c r="E406" s="131" t="s">
        <v>607</v>
      </c>
      <c r="F406" s="165" t="s">
        <v>886</v>
      </c>
      <c r="G406" s="141"/>
      <c r="H406" s="141"/>
    </row>
    <row r="407" spans="1:8" ht="15.75">
      <c r="A407" s="165" t="s">
        <v>80</v>
      </c>
      <c r="B407" s="150" t="str">
        <f>IF($B$404="None Entered","None Entered",IF('07_GSM_WAP Profiles'!M8="","None Entered",'07_GSM_WAP Profiles'!M8))</f>
        <v>None Entered</v>
      </c>
      <c r="C407" s="151"/>
      <c r="D407" s="157"/>
      <c r="E407" s="131" t="s">
        <v>607</v>
      </c>
      <c r="F407" s="165" t="s">
        <v>887</v>
      </c>
      <c r="G407" s="141"/>
      <c r="H407" s="141"/>
    </row>
    <row r="408" spans="1:8" ht="15.75">
      <c r="A408" s="165" t="s">
        <v>81</v>
      </c>
      <c r="B408" s="150" t="str">
        <f>IF($B$404="None Entered","None Entered",IF('07_GSM_WAP Profiles'!M9="","None Entered",'07_GSM_WAP Profiles'!M9))</f>
        <v>None Entered</v>
      </c>
      <c r="C408" s="151"/>
      <c r="D408" s="157"/>
      <c r="E408" s="131" t="s">
        <v>607</v>
      </c>
      <c r="F408" s="165" t="s">
        <v>888</v>
      </c>
      <c r="G408" s="141"/>
      <c r="H408" s="141"/>
    </row>
    <row r="409" spans="1:8" ht="15.75">
      <c r="A409" s="165" t="s">
        <v>82</v>
      </c>
      <c r="B409" s="150" t="str">
        <f>IF($B$404="None Entered","None Entered",IF('07_GSM_WAP Profiles'!M10="","None Entered",'07_GSM_WAP Profiles'!M10))</f>
        <v>None Entered</v>
      </c>
      <c r="C409" s="151"/>
      <c r="D409" s="157"/>
      <c r="E409" s="131" t="s">
        <v>607</v>
      </c>
      <c r="F409" s="165" t="s">
        <v>889</v>
      </c>
      <c r="G409" s="141"/>
      <c r="H409" s="141"/>
    </row>
    <row r="410" spans="1:8" ht="15.75">
      <c r="A410" s="165" t="s">
        <v>83</v>
      </c>
      <c r="B410" s="150" t="str">
        <f>IF($B$404="None Entered","None Entered",IF('07_GSM_WAP Profiles'!M11="","None Entered",'07_GSM_WAP Profiles'!M11))</f>
        <v>None Entered</v>
      </c>
      <c r="C410" s="151"/>
      <c r="D410" s="157"/>
      <c r="E410" s="131" t="s">
        <v>607</v>
      </c>
      <c r="F410" s="165" t="s">
        <v>890</v>
      </c>
      <c r="G410" s="141"/>
      <c r="H410" s="141"/>
    </row>
    <row r="411" spans="1:8" ht="15.75">
      <c r="A411" s="165" t="s">
        <v>720</v>
      </c>
      <c r="B411" s="150" t="str">
        <f>IF($B$404="None Entered","None Entered",IF('07_GSM_WAP Profiles'!M12="","None Entered",'07_GSM_WAP Profiles'!M12))</f>
        <v>None Entered</v>
      </c>
      <c r="C411" s="151"/>
      <c r="D411" s="157"/>
      <c r="E411" s="131" t="s">
        <v>607</v>
      </c>
      <c r="F411" s="165" t="s">
        <v>891</v>
      </c>
      <c r="G411" s="141"/>
      <c r="H411" s="141"/>
    </row>
    <row r="412" spans="1:8" ht="15.75">
      <c r="A412" s="165" t="s">
        <v>721</v>
      </c>
      <c r="B412" s="150" t="str">
        <f>IF($B$404="None Entered","None Entered",IF('07_GSM_WAP Profiles'!M13="","None Entered",'07_GSM_WAP Profiles'!M13))</f>
        <v>None Entered</v>
      </c>
      <c r="C412" s="151"/>
      <c r="D412" s="157"/>
      <c r="E412" s="131" t="s">
        <v>607</v>
      </c>
      <c r="F412" s="165" t="s">
        <v>892</v>
      </c>
      <c r="G412" s="141"/>
      <c r="H412" s="141"/>
    </row>
    <row r="413" spans="1:8" ht="15.75">
      <c r="A413" s="165" t="s">
        <v>722</v>
      </c>
      <c r="B413" s="150" t="str">
        <f>IF($B$404="None Entered","None Entered",IF('07_GSM_WAP Profiles'!M14="","None Entered",'07_GSM_WAP Profiles'!M14))</f>
        <v>None Entered</v>
      </c>
      <c r="C413" s="151"/>
      <c r="D413" s="157"/>
      <c r="E413" s="131" t="s">
        <v>607</v>
      </c>
      <c r="F413" s="165" t="s">
        <v>893</v>
      </c>
      <c r="G413" s="141"/>
      <c r="H413" s="141"/>
    </row>
    <row r="414" spans="1:8" ht="15.75">
      <c r="A414" s="165" t="s">
        <v>723</v>
      </c>
      <c r="B414" s="150" t="str">
        <f>IF($B$404="None Entered","None Entered",IF('07_GSM_WAP Profiles'!M15="","None Entered",'07_GSM_WAP Profiles'!M15))</f>
        <v>None Entered</v>
      </c>
      <c r="C414" s="151"/>
      <c r="D414" s="157"/>
      <c r="E414" s="131" t="s">
        <v>607</v>
      </c>
      <c r="F414" s="165" t="s">
        <v>894</v>
      </c>
      <c r="G414" s="141"/>
      <c r="H414" s="141"/>
    </row>
    <row r="415" spans="1:8" ht="15.75">
      <c r="A415" s="165" t="s">
        <v>724</v>
      </c>
      <c r="B415" s="150" t="str">
        <f>IF($B$404="None Entered","None Entered",IF('07_GSM_WAP Profiles'!M16="","None Entered",'07_GSM_WAP Profiles'!M16))</f>
        <v>None Entered</v>
      </c>
      <c r="C415" s="151"/>
      <c r="D415" s="157"/>
      <c r="E415" s="131" t="s">
        <v>607</v>
      </c>
      <c r="F415" s="165" t="s">
        <v>895</v>
      </c>
      <c r="G415" s="141"/>
      <c r="H415" s="141"/>
    </row>
    <row r="416" spans="1:8" ht="15.75">
      <c r="A416" s="165" t="s">
        <v>725</v>
      </c>
      <c r="B416" s="150" t="str">
        <f>IF($B$404="None Entered","None Entered",IF('07_GSM_WAP Profiles'!M17="","None Entered",CONCATENATE('07_GSM_WAP Profiles'!M17/60," Minutes")))</f>
        <v>None Entered</v>
      </c>
      <c r="C416" s="151"/>
      <c r="D416" s="157"/>
      <c r="E416" s="131" t="s">
        <v>607</v>
      </c>
      <c r="F416" s="165" t="s">
        <v>896</v>
      </c>
      <c r="G416" s="141"/>
      <c r="H416" s="141"/>
    </row>
    <row r="417" spans="1:8" ht="15.75">
      <c r="A417" s="165" t="s">
        <v>726</v>
      </c>
      <c r="B417" s="150" t="str">
        <f>IF($B$404="None Entered","None Entered",IF('07_GSM_WAP Profiles'!M18="","None Entered",'07_GSM_WAP Profiles'!M18))</f>
        <v>None Entered</v>
      </c>
      <c r="C417" s="151"/>
      <c r="D417" s="157"/>
      <c r="E417" s="131" t="s">
        <v>607</v>
      </c>
      <c r="F417" s="165" t="s">
        <v>897</v>
      </c>
      <c r="G417" s="141"/>
      <c r="H417" s="141"/>
    </row>
    <row r="418" spans="1:8" ht="15.75">
      <c r="A418" s="165" t="s">
        <v>727</v>
      </c>
      <c r="B418" s="150" t="str">
        <f>IF($B$404="None Entered","None Entered",IF('07_GSM_WAP Profiles'!M19="","None Entered",'07_GSM_WAP Profiles'!M19))</f>
        <v>None Entered</v>
      </c>
      <c r="C418" s="151"/>
      <c r="D418" s="157"/>
      <c r="E418" s="131" t="s">
        <v>607</v>
      </c>
      <c r="F418" s="165" t="s">
        <v>898</v>
      </c>
      <c r="G418" s="141"/>
      <c r="H418" s="141"/>
    </row>
    <row r="419" spans="1:8" ht="15.75">
      <c r="A419" s="165" t="s">
        <v>728</v>
      </c>
      <c r="B419" s="150" t="str">
        <f>IF($B$404="None Entered","None Entered",IF('07_GSM_WAP Profiles'!M20="","None Entered",'07_GSM_WAP Profiles'!M20))</f>
        <v>None Entered</v>
      </c>
      <c r="C419" s="151"/>
      <c r="D419" s="157"/>
      <c r="E419" s="131" t="s">
        <v>607</v>
      </c>
      <c r="F419" s="165" t="s">
        <v>899</v>
      </c>
      <c r="G419" s="141"/>
      <c r="H419" s="141"/>
    </row>
    <row r="420" spans="1:8" ht="15.75">
      <c r="A420" s="165" t="s">
        <v>729</v>
      </c>
      <c r="B420" s="150" t="str">
        <f>IF($B$404="None Entered","None Entered",IF('07_GSM_WAP Profiles'!M21="","None Entered",IF('07_GSM_WAP Profiles'!M21=9600,"9600 Baud Rate",IF('07_GSM_WAP Profiles'!M21=14400,"14400 Baud Rate",'07_GSM_WAP Profiles'!M21))))</f>
        <v>None Entered</v>
      </c>
      <c r="C420" s="166"/>
      <c r="D420" s="157"/>
      <c r="E420" s="131" t="s">
        <v>607</v>
      </c>
      <c r="F420" s="165" t="s">
        <v>900</v>
      </c>
      <c r="G420" s="141"/>
      <c r="H420" s="141"/>
    </row>
    <row r="421" spans="1:8" ht="15.75">
      <c r="A421" s="165" t="s">
        <v>730</v>
      </c>
      <c r="B421" s="150" t="str">
        <f>IF($B$404="None Entered","None Entered",IF('07_GSM_WAP Profiles'!M22="","None Entered",'07_GSM_WAP Profiles'!M22))</f>
        <v>None Entered</v>
      </c>
      <c r="C421" s="151"/>
      <c r="D421" s="157"/>
      <c r="E421" s="131" t="s">
        <v>607</v>
      </c>
      <c r="F421" s="165" t="s">
        <v>901</v>
      </c>
      <c r="G421" s="141"/>
      <c r="H421" s="141"/>
    </row>
    <row r="422" spans="1:8" ht="15.75">
      <c r="A422" s="165" t="s">
        <v>731</v>
      </c>
      <c r="B422" s="150" t="str">
        <f>IF($B$404="None Entered","None Entered",IF('07_GSM_WAP Profiles'!M23="","None Entered",'07_GSM_WAP Profiles'!M23))</f>
        <v>None Entered</v>
      </c>
      <c r="C422" s="151"/>
      <c r="D422" s="157"/>
      <c r="E422" s="131" t="s">
        <v>607</v>
      </c>
      <c r="F422" s="165" t="s">
        <v>902</v>
      </c>
      <c r="G422" s="141"/>
      <c r="H422" s="141"/>
    </row>
    <row r="423" spans="1:8" ht="15.75">
      <c r="A423" s="165" t="s">
        <v>732</v>
      </c>
      <c r="B423" s="150" t="str">
        <f>IF($B$404="None Entered","None Entered",IF('07_GSM_WAP Profiles'!M24="","None Entered",'07_GSM_WAP Profiles'!M24))</f>
        <v>None Entered</v>
      </c>
      <c r="C423" s="151"/>
      <c r="D423" s="157"/>
      <c r="E423" s="131" t="s">
        <v>607</v>
      </c>
      <c r="F423" s="165" t="s">
        <v>903</v>
      </c>
      <c r="G423" s="141"/>
      <c r="H423" s="141"/>
    </row>
    <row r="424" spans="1:8" ht="15.75">
      <c r="A424" s="165" t="s">
        <v>877</v>
      </c>
      <c r="B424" s="150" t="str">
        <f>IF($B$404="None Entered","None Entered",IF('07_GSM_WAP Profiles'!M25="","None Entered",'07_GSM_WAP Profiles'!M25))</f>
        <v>None Entered</v>
      </c>
      <c r="C424" s="151"/>
      <c r="D424" s="157"/>
      <c r="E424" s="131" t="s">
        <v>607</v>
      </c>
      <c r="F424" s="165" t="s">
        <v>904</v>
      </c>
      <c r="G424" s="141"/>
      <c r="H424" s="141"/>
    </row>
    <row r="425" spans="1:8" ht="15.75">
      <c r="A425" s="165" t="s">
        <v>878</v>
      </c>
      <c r="B425" s="150" t="str">
        <f>IF($B$404="None Entered","None Entered",IF('07_GSM_WAP Profiles'!M26="","None Entered",IF('07_GSM_WAP Profiles'!M26=9600,"9600 Baud Rate",IF('07_GSM_WAP Profiles'!M26=14400,"14400 Baud Rate",'07_GSM_WAP Profiles'!M26))))</f>
        <v>None Entered</v>
      </c>
      <c r="C425" s="151"/>
      <c r="D425" s="157"/>
      <c r="E425" s="131" t="s">
        <v>607</v>
      </c>
      <c r="F425" s="165" t="s">
        <v>905</v>
      </c>
      <c r="G425" s="141"/>
      <c r="H425" s="141"/>
    </row>
    <row r="426" spans="1:8" ht="15.75">
      <c r="A426" s="165" t="s">
        <v>879</v>
      </c>
      <c r="B426" s="150" t="str">
        <f>IF($B$404="None Entered","None Entered",IF('07_GSM_WAP Profiles'!M27="","None Entered",'07_GSM_WAP Profiles'!M27))</f>
        <v>None Entered</v>
      </c>
      <c r="C426" s="151"/>
      <c r="D426" s="157"/>
      <c r="E426" s="131" t="s">
        <v>607</v>
      </c>
      <c r="F426" s="165" t="s">
        <v>906</v>
      </c>
      <c r="G426" s="141"/>
      <c r="H426" s="141"/>
    </row>
    <row r="427" spans="1:8" ht="15.75">
      <c r="A427" s="165" t="s">
        <v>880</v>
      </c>
      <c r="B427" s="150" t="str">
        <f>IF($B$404="None Entered","None Entered",IF('07_GSM_WAP Profiles'!M28="","None Entered",'07_GSM_WAP Profiles'!M28))</f>
        <v>None Entered</v>
      </c>
      <c r="C427" s="151"/>
      <c r="D427" s="157"/>
      <c r="E427" s="131" t="s">
        <v>607</v>
      </c>
      <c r="F427" s="165" t="s">
        <v>907</v>
      </c>
      <c r="G427" s="141"/>
      <c r="H427" s="141"/>
    </row>
    <row r="428" spans="1:8" ht="15.75">
      <c r="A428" s="165" t="s">
        <v>881</v>
      </c>
      <c r="B428" s="150" t="str">
        <f>IF($B$404="None Entered","None Entered",IF('07_GSM_WAP Profiles'!M29="","None Entered",'07_GSM_WAP Profiles'!M29))</f>
        <v>None Entered</v>
      </c>
      <c r="C428" s="151"/>
      <c r="D428" s="157"/>
      <c r="E428" s="131" t="s">
        <v>607</v>
      </c>
      <c r="F428" s="165" t="s">
        <v>908</v>
      </c>
      <c r="G428" s="141"/>
      <c r="H428" s="141"/>
    </row>
    <row r="429" spans="1:8" ht="15.75">
      <c r="A429" s="165" t="s">
        <v>882</v>
      </c>
      <c r="B429" s="150" t="str">
        <f>IF($B$404="None Entered","None Entered",IF('07_GSM_WAP Profiles'!M30="","None Entered",'07_GSM_WAP Profiles'!M30))</f>
        <v>None Entered</v>
      </c>
      <c r="C429" s="151"/>
      <c r="D429" s="157"/>
      <c r="E429" s="131" t="s">
        <v>607</v>
      </c>
      <c r="F429" s="165" t="s">
        <v>909</v>
      </c>
      <c r="G429" s="141"/>
      <c r="H429" s="141"/>
    </row>
    <row r="430" spans="1:8" ht="15.75">
      <c r="A430" s="163" t="s">
        <v>351</v>
      </c>
      <c r="B430" s="163" t="s">
        <v>352</v>
      </c>
      <c r="C430" s="153"/>
      <c r="D430" s="154"/>
      <c r="E430" s="196" t="s">
        <v>353</v>
      </c>
      <c r="F430" s="197" t="s">
        <v>354</v>
      </c>
      <c r="G430" s="155"/>
      <c r="H430" s="155"/>
    </row>
    <row r="431" spans="1:8" ht="15.75">
      <c r="A431" s="143" t="s">
        <v>344</v>
      </c>
      <c r="B431" s="150" t="str">
        <f>IF('04_GSM_SMS-EMS-MMS-Email'!$G$15="Portuguese",'CPV Input'!A515,IF('04_GSM_SMS-EMS-MMS-Email'!$G$15="Spanish",B515,IF('04_GSM_SMS-EMS-MMS-Email'!$G$15="English",C515,IF('04_GSM_SMS-EMS-MMS-Email'!$G$15="Spanish (Mexico)",D515,IF('04_GSM_SMS-EMS-MMS-Email'!$G$15="French",F515," ")))))</f>
        <v>Te llamo más tarde</v>
      </c>
      <c r="C431" s="151"/>
      <c r="D431" s="157"/>
      <c r="E431" s="131" t="s">
        <v>607</v>
      </c>
      <c r="F431" s="113" t="s">
        <v>345</v>
      </c>
      <c r="G431" s="141"/>
      <c r="H431" s="141"/>
    </row>
    <row r="432" spans="1:8" ht="15.75">
      <c r="A432" s="143" t="s">
        <v>346</v>
      </c>
      <c r="B432" s="150" t="str">
        <f>IF('04_GSM_SMS-EMS-MMS-Email'!$G$15="Portuguese",'CPV Input'!A516,IF('04_GSM_SMS-EMS-MMS-Email'!$G$15="Spanish",B516,IF('04_GSM_SMS-EMS-MMS-Email'!$G$15="English",C516,IF('04_GSM_SMS-EMS-MMS-Email'!$G$15="Spanish (Mexico)",D516,IF('04_GSM_SMS-EMS-MMS-Email'!$G$15="French",F516," ")))))</f>
        <v>Llámame</v>
      </c>
      <c r="C432" s="151"/>
      <c r="D432" s="157"/>
      <c r="E432" s="131" t="s">
        <v>607</v>
      </c>
      <c r="F432" s="113" t="s">
        <v>1314</v>
      </c>
      <c r="G432" s="141"/>
      <c r="H432" s="141"/>
    </row>
    <row r="433" spans="1:8" ht="15.75">
      <c r="A433" s="143" t="s">
        <v>1315</v>
      </c>
      <c r="B433" s="150" t="str">
        <f>IF('04_GSM_SMS-EMS-MMS-Email'!$G$15="Portuguese",'CPV Input'!A517,IF('04_GSM_SMS-EMS-MMS-Email'!$G$15="Spanish",B517,IF('04_GSM_SMS-EMS-MMS-Email'!$G$15="English",C517,IF('04_GSM_SMS-EMS-MMS-Email'!$G$15="Spanish (Mexico)",D517,IF('04_GSM_SMS-EMS-MMS-Email'!$G$15="French",F517," ")))))</f>
        <v>A qué número te llamo?</v>
      </c>
      <c r="C433" s="151"/>
      <c r="D433" s="157"/>
      <c r="E433" s="131" t="s">
        <v>607</v>
      </c>
      <c r="F433" s="113" t="s">
        <v>1316</v>
      </c>
      <c r="G433" s="141"/>
      <c r="H433" s="141"/>
    </row>
    <row r="434" spans="1:8" ht="15.75">
      <c r="A434" s="143" t="s">
        <v>1317</v>
      </c>
      <c r="B434" s="150" t="str">
        <f>IF('04_GSM_SMS-EMS-MMS-Email'!$G$15="Portuguese",'CPV Input'!A518,IF('04_GSM_SMS-EMS-MMS-Email'!$G$15="Spanish",B518,IF('04_GSM_SMS-EMS-MMS-Email'!$G$15="English",C518,IF('04_GSM_SMS-EMS-MMS-Email'!$G$15="Spanish (Mexico)",D518,IF('04_GSM_SMS-EMS-MMS-Email'!$G$15="French",F518," ")))))</f>
        <v>Dónde estás?</v>
      </c>
      <c r="C434" s="151"/>
      <c r="D434" s="157"/>
      <c r="E434" s="131" t="s">
        <v>607</v>
      </c>
      <c r="F434" s="113" t="s">
        <v>1318</v>
      </c>
      <c r="G434" s="141"/>
      <c r="H434" s="141"/>
    </row>
    <row r="435" spans="1:8" ht="15.75">
      <c r="A435" s="143" t="s">
        <v>1319</v>
      </c>
      <c r="B435" s="150" t="str">
        <f>IF('04_GSM_SMS-EMS-MMS-Email'!$G$15="Portuguese",'CPV Input'!A519,IF('04_GSM_SMS-EMS-MMS-Email'!$G$15="Spanish",B519,IF('04_GSM_SMS-EMS-MMS-Email'!$G$15="English",C519,IF('04_GSM_SMS-EMS-MMS-Email'!$G$15="Spanish (Mexico)",D519,IF('04_GSM_SMS-EMS-MMS-Email'!$G$15="French",F519," ")))))</f>
        <v>Estoy ocupado/a</v>
      </c>
      <c r="C435" s="151"/>
      <c r="D435" s="157"/>
      <c r="E435" s="131" t="s">
        <v>607</v>
      </c>
      <c r="F435" s="113" t="s">
        <v>1320</v>
      </c>
      <c r="G435" s="141"/>
      <c r="H435" s="141"/>
    </row>
    <row r="436" spans="1:8" ht="15.75">
      <c r="A436" s="143" t="s">
        <v>1321</v>
      </c>
      <c r="B436" s="150" t="str">
        <f>IF('04_GSM_SMS-EMS-MMS-Email'!$G$15="Portuguese",'CPV Input'!A520,IF('04_GSM_SMS-EMS-MMS-Email'!$G$15="Spanish",B520,IF('04_GSM_SMS-EMS-MMS-Email'!$G$15="English",C520,IF('04_GSM_SMS-EMS-MMS-Email'!$G$15="Spanish (Mexico)",D520,IF('04_GSM_SMS-EMS-MMS-Email'!$G$15="French",F520," ")))))</f>
        <v>Ya voy en camino</v>
      </c>
      <c r="C436" s="151"/>
      <c r="D436" s="157"/>
      <c r="E436" s="131" t="s">
        <v>607</v>
      </c>
      <c r="F436" s="113" t="s">
        <v>1322</v>
      </c>
      <c r="G436" s="141"/>
      <c r="H436" s="141"/>
    </row>
    <row r="437" spans="1:8" ht="15.75">
      <c r="A437" s="143" t="s">
        <v>394</v>
      </c>
      <c r="B437" s="150" t="str">
        <f>IF('04_GSM_SMS-EMS-MMS-Email'!$G$15="Portuguese",'CPV Input'!A521,IF('04_GSM_SMS-EMS-MMS-Email'!$G$15="Spanish",B521,IF('04_GSM_SMS-EMS-MMS-Email'!$G$15="English",C521,IF('04_GSM_SMS-EMS-MMS-Email'!$G$15="Spanish (Mexico)",D521,IF('04_GSM_SMS-EMS-MMS-Email'!$G$15="French",F521," ")))))</f>
        <v>Llego en 15 minutos</v>
      </c>
      <c r="C437" s="151"/>
      <c r="D437" s="157"/>
      <c r="E437" s="131" t="s">
        <v>607</v>
      </c>
      <c r="F437" s="113" t="s">
        <v>395</v>
      </c>
      <c r="G437" s="141"/>
      <c r="H437" s="141"/>
    </row>
    <row r="438" spans="1:8" ht="15.75">
      <c r="A438" s="143" t="s">
        <v>396</v>
      </c>
      <c r="B438" s="150" t="str">
        <f>IF('04_GSM_SMS-EMS-MMS-Email'!$G$15="Portuguese",'CPV Input'!A522,IF('04_GSM_SMS-EMS-MMS-Email'!$G$15="Spanish",B522,IF('04_GSM_SMS-EMS-MMS-Email'!$G$15="English",C522,IF('04_GSM_SMS-EMS-MMS-Email'!$G$15="Spanish (Mexico)",D522,IF('04_GSM_SMS-EMS-MMS-Email'!$G$15="French",F522," ")))))</f>
        <v>Necesito más información</v>
      </c>
      <c r="C438" s="151"/>
      <c r="D438" s="157"/>
      <c r="E438" s="131" t="s">
        <v>607</v>
      </c>
      <c r="F438" s="113" t="s">
        <v>397</v>
      </c>
      <c r="G438" s="141"/>
      <c r="H438" s="141"/>
    </row>
    <row r="439" spans="1:8" ht="15.75">
      <c r="A439" s="143" t="s">
        <v>398</v>
      </c>
      <c r="B439" s="150" t="str">
        <f>IF('04_GSM_SMS-EMS-MMS-Email'!$G$15="Portuguese",'CPV Input'!A523,IF('04_GSM_SMS-EMS-MMS-Email'!$G$15="Spanish",B523,IF('04_GSM_SMS-EMS-MMS-Email'!$G$15="English",C523,IF('04_GSM_SMS-EMS-MMS-Email'!$G$15="Spanish (Mexico)",D523,IF('04_GSM_SMS-EMS-MMS-Email'!$G$15="French",F523," ")))))</f>
        <v>Cómo llego?</v>
      </c>
      <c r="C439" s="151"/>
      <c r="D439" s="157"/>
      <c r="E439" s="131" t="s">
        <v>607</v>
      </c>
      <c r="F439" s="113" t="s">
        <v>399</v>
      </c>
      <c r="G439" s="141"/>
      <c r="H439" s="141"/>
    </row>
    <row r="440" spans="1:8" ht="15.75">
      <c r="A440" s="143" t="s">
        <v>400</v>
      </c>
      <c r="B440" s="150" t="str">
        <f>IF('04_GSM_SMS-EMS-MMS-Email'!$G$15="Portuguese",'CPV Input'!A524,IF('04_GSM_SMS-EMS-MMS-Email'!$G$15="Spanish",B524,IF('04_GSM_SMS-EMS-MMS-Email'!$G$15="English",C524,IF('04_GSM_SMS-EMS-MMS-Email'!$G$15="Spanish (Mexico)",D524,IF('04_GSM_SMS-EMS-MMS-Email'!$G$15="French",F524," ")))))</f>
        <v>Pasa a buscarme</v>
      </c>
      <c r="C440" s="151"/>
      <c r="D440" s="157"/>
      <c r="E440" s="131" t="s">
        <v>607</v>
      </c>
      <c r="F440" s="113" t="s">
        <v>401</v>
      </c>
      <c r="G440" s="141"/>
      <c r="H440" s="141"/>
    </row>
    <row r="441" spans="1:8" ht="15.75">
      <c r="A441" s="143" t="s">
        <v>402</v>
      </c>
      <c r="B441" s="150" t="str">
        <f>IF('04_GSM_SMS-EMS-MMS-Email'!$G$15="Portuguese",'CPV Input'!A525,IF('04_GSM_SMS-EMS-MMS-Email'!$G$15="Spanish",B525,IF('04_GSM_SMS-EMS-MMS-Email'!$G$15="English",C525,IF('04_GSM_SMS-EMS-MMS-Email'!$G$15="Spanish (Mexico)",D525,IF('04_GSM_SMS-EMS-MMS-Email'!$G$15="French",F525," ")))))</f>
        <v> </v>
      </c>
      <c r="C441" s="151"/>
      <c r="D441" s="157"/>
      <c r="E441" s="131" t="s">
        <v>607</v>
      </c>
      <c r="F441" s="113" t="s">
        <v>403</v>
      </c>
      <c r="G441" s="141"/>
      <c r="H441" s="141"/>
    </row>
    <row r="442" spans="1:8" ht="15.75">
      <c r="A442" s="143" t="s">
        <v>404</v>
      </c>
      <c r="B442" s="150" t="str">
        <f>IF('04_GSM_SMS-EMS-MMS-Email'!$G$15="Portuguese",'CPV Input'!A526,IF('04_GSM_SMS-EMS-MMS-Email'!$G$15="Spanish",B526,IF('04_GSM_SMS-EMS-MMS-Email'!$G$15="English",C526,IF('04_GSM_SMS-EMS-MMS-Email'!$G$15="Spanish (Mexico)",D526,IF('04_GSM_SMS-EMS-MMS-Email'!$G$15="French",F526," ")))))</f>
        <v> </v>
      </c>
      <c r="C442" s="151"/>
      <c r="D442" s="157"/>
      <c r="E442" s="131" t="s">
        <v>607</v>
      </c>
      <c r="F442" s="113" t="s">
        <v>405</v>
      </c>
      <c r="G442" s="141"/>
      <c r="H442" s="141"/>
    </row>
    <row r="443" spans="1:8" ht="15.75">
      <c r="A443" s="143" t="s">
        <v>406</v>
      </c>
      <c r="B443" s="150" t="str">
        <f>IF('04_GSM_SMS-EMS-MMS-Email'!$G$15="Portuguese",'CPV Input'!A527,IF('04_GSM_SMS-EMS-MMS-Email'!$G$15="Spanish",B527,IF('04_GSM_SMS-EMS-MMS-Email'!$G$15="English",C527,IF('04_GSM_SMS-EMS-MMS-Email'!$G$15="Spanish (Mexico)",D527,IF('04_GSM_SMS-EMS-MMS-Email'!$G$15="French",F527," ")))))</f>
        <v> </v>
      </c>
      <c r="C443" s="151"/>
      <c r="D443" s="157"/>
      <c r="E443" s="131" t="s">
        <v>607</v>
      </c>
      <c r="F443" s="113" t="s">
        <v>407</v>
      </c>
      <c r="G443" s="141"/>
      <c r="H443" s="141"/>
    </row>
    <row r="444" spans="1:8" ht="15.75">
      <c r="A444" s="143" t="s">
        <v>408</v>
      </c>
      <c r="B444" s="150" t="str">
        <f>IF('04_GSM_SMS-EMS-MMS-Email'!$G$15="Portuguese",'CPV Input'!A528,IF('04_GSM_SMS-EMS-MMS-Email'!$G$15="Spanish",B528,IF('04_GSM_SMS-EMS-MMS-Email'!$G$15="English",C528,IF('04_GSM_SMS-EMS-MMS-Email'!$G$15="Spanish (Mexico)",D528,IF('04_GSM_SMS-EMS-MMS-Email'!$G$15="French",F528," ")))))</f>
        <v> </v>
      </c>
      <c r="C444" s="151"/>
      <c r="D444" s="157"/>
      <c r="E444" s="131" t="s">
        <v>607</v>
      </c>
      <c r="F444" s="113" t="s">
        <v>409</v>
      </c>
      <c r="G444" s="141"/>
      <c r="H444" s="141"/>
    </row>
    <row r="445" spans="1:8" ht="15.75">
      <c r="A445" s="143" t="s">
        <v>410</v>
      </c>
      <c r="B445" s="150" t="str">
        <f>IF('04_GSM_SMS-EMS-MMS-Email'!$G$15="Portuguese",'CPV Input'!A529,IF('04_GSM_SMS-EMS-MMS-Email'!$G$15="Spanish",B529,IF('04_GSM_SMS-EMS-MMS-Email'!$G$15="English",C529,IF('04_GSM_SMS-EMS-MMS-Email'!$G$15="Spanish (Mexico)",D529,IF('04_GSM_SMS-EMS-MMS-Email'!$G$15="French",F529," ")))))</f>
        <v> </v>
      </c>
      <c r="C445" s="151"/>
      <c r="D445" s="157"/>
      <c r="E445" s="131" t="s">
        <v>607</v>
      </c>
      <c r="F445" s="113" t="s">
        <v>411</v>
      </c>
      <c r="G445" s="141"/>
      <c r="H445" s="141"/>
    </row>
    <row r="446" spans="1:8" ht="15.75">
      <c r="A446" s="144" t="s">
        <v>587</v>
      </c>
      <c r="B446" s="205" t="s">
        <v>649</v>
      </c>
      <c r="C446" s="205" t="s">
        <v>745</v>
      </c>
      <c r="D446" s="205" t="s">
        <v>277</v>
      </c>
      <c r="E446" s="205" t="s">
        <v>1042</v>
      </c>
      <c r="F446" s="156"/>
      <c r="G446" s="155"/>
      <c r="H446" s="155"/>
    </row>
    <row r="447" spans="1:8" ht="15.75">
      <c r="A447" s="169" t="s">
        <v>270</v>
      </c>
      <c r="B447" s="129" t="s">
        <v>599</v>
      </c>
      <c r="C447" s="151" t="s">
        <v>600</v>
      </c>
      <c r="D447" s="132" t="s">
        <v>229</v>
      </c>
      <c r="E447" s="131" t="s">
        <v>1073</v>
      </c>
      <c r="F447" s="130" t="s">
        <v>493</v>
      </c>
      <c r="G447" s="169" t="s">
        <v>271</v>
      </c>
      <c r="H447" s="141"/>
    </row>
    <row r="448" spans="1:8" ht="15.75">
      <c r="A448" s="169" t="s">
        <v>272</v>
      </c>
      <c r="B448" s="129" t="s">
        <v>599</v>
      </c>
      <c r="C448" s="151" t="s">
        <v>600</v>
      </c>
      <c r="D448" s="132" t="s">
        <v>229</v>
      </c>
      <c r="E448" s="131" t="s">
        <v>1073</v>
      </c>
      <c r="F448" s="130" t="s">
        <v>493</v>
      </c>
      <c r="G448" s="169" t="s">
        <v>271</v>
      </c>
      <c r="H448" s="141"/>
    </row>
    <row r="449" spans="1:8" ht="15.75">
      <c r="A449" s="169" t="s">
        <v>273</v>
      </c>
      <c r="B449" s="129" t="s">
        <v>599</v>
      </c>
      <c r="C449" s="151" t="s">
        <v>600</v>
      </c>
      <c r="D449" s="132" t="s">
        <v>229</v>
      </c>
      <c r="E449" s="131" t="s">
        <v>1073</v>
      </c>
      <c r="F449" s="130" t="s">
        <v>493</v>
      </c>
      <c r="G449" s="169" t="s">
        <v>271</v>
      </c>
      <c r="H449" s="141"/>
    </row>
    <row r="450" spans="1:8" ht="15.75">
      <c r="A450" s="169" t="s">
        <v>274</v>
      </c>
      <c r="B450" s="129" t="s">
        <v>599</v>
      </c>
      <c r="C450" s="151" t="s">
        <v>600</v>
      </c>
      <c r="D450" s="132" t="s">
        <v>229</v>
      </c>
      <c r="E450" s="131" t="s">
        <v>1073</v>
      </c>
      <c r="F450" s="130" t="s">
        <v>493</v>
      </c>
      <c r="G450" s="169" t="s">
        <v>271</v>
      </c>
      <c r="H450" s="141"/>
    </row>
    <row r="451" spans="1:8" ht="15.75">
      <c r="A451" s="169" t="s">
        <v>275</v>
      </c>
      <c r="B451" s="129" t="s">
        <v>599</v>
      </c>
      <c r="C451" s="151" t="s">
        <v>600</v>
      </c>
      <c r="D451" s="132" t="s">
        <v>229</v>
      </c>
      <c r="E451" s="131" t="s">
        <v>1073</v>
      </c>
      <c r="F451" s="130" t="s">
        <v>493</v>
      </c>
      <c r="G451" s="169" t="s">
        <v>271</v>
      </c>
      <c r="H451" s="141"/>
    </row>
    <row r="452" spans="1:8" ht="15.75">
      <c r="A452" s="169" t="s">
        <v>276</v>
      </c>
      <c r="B452" s="129" t="s">
        <v>599</v>
      </c>
      <c r="C452" s="151" t="s">
        <v>600</v>
      </c>
      <c r="D452" s="132" t="s">
        <v>229</v>
      </c>
      <c r="E452" s="131" t="s">
        <v>1073</v>
      </c>
      <c r="F452" s="130" t="s">
        <v>493</v>
      </c>
      <c r="G452" s="169" t="s">
        <v>271</v>
      </c>
      <c r="H452" s="141"/>
    </row>
    <row r="453" spans="1:256" ht="15.75">
      <c r="A453" s="163" t="s">
        <v>351</v>
      </c>
      <c r="B453" s="163" t="s">
        <v>1186</v>
      </c>
      <c r="C453" s="153"/>
      <c r="D453" s="154"/>
      <c r="E453" s="196"/>
      <c r="F453" s="197"/>
      <c r="G453" s="155"/>
      <c r="H453" s="155"/>
      <c r="I453" s="186"/>
      <c r="J453" s="178"/>
      <c r="K453" s="186"/>
      <c r="L453" s="178"/>
      <c r="M453" s="186"/>
      <c r="N453" s="178"/>
      <c r="O453" s="186"/>
      <c r="P453" s="178"/>
      <c r="Q453" s="186"/>
      <c r="R453" s="178"/>
      <c r="S453" s="186"/>
      <c r="T453" s="178"/>
      <c r="U453" s="186"/>
      <c r="V453" s="178"/>
      <c r="W453" s="186"/>
      <c r="X453" s="178"/>
      <c r="Y453" s="186"/>
      <c r="Z453" s="178"/>
      <c r="AA453" s="186"/>
      <c r="AB453" s="178"/>
      <c r="AC453" s="186"/>
      <c r="AD453" s="178"/>
      <c r="AE453" s="186"/>
      <c r="AF453" s="178"/>
      <c r="AG453" s="186"/>
      <c r="AH453" s="178"/>
      <c r="AI453" s="186"/>
      <c r="AJ453" s="178"/>
      <c r="AK453" s="186"/>
      <c r="AL453" s="178"/>
      <c r="AM453" s="186"/>
      <c r="AN453" s="178"/>
      <c r="AO453" s="186"/>
      <c r="AP453" s="178"/>
      <c r="AQ453" s="186"/>
      <c r="AR453" s="178"/>
      <c r="AS453" s="186"/>
      <c r="AT453" s="178"/>
      <c r="AU453" s="186"/>
      <c r="AV453" s="178"/>
      <c r="AW453" s="186"/>
      <c r="AX453" s="178"/>
      <c r="AY453" s="186"/>
      <c r="AZ453" s="178"/>
      <c r="BA453" s="186"/>
      <c r="BB453" s="178"/>
      <c r="BC453" s="186"/>
      <c r="BD453" s="178"/>
      <c r="BE453" s="186"/>
      <c r="BF453" s="178"/>
      <c r="BG453" s="186"/>
      <c r="BH453" s="178"/>
      <c r="BI453" s="186"/>
      <c r="BJ453" s="178"/>
      <c r="BK453" s="186"/>
      <c r="BL453" s="178"/>
      <c r="BM453" s="186"/>
      <c r="BN453" s="178"/>
      <c r="BO453" s="186"/>
      <c r="BP453" s="178"/>
      <c r="BQ453" s="186"/>
      <c r="BR453" s="178"/>
      <c r="BS453" s="186"/>
      <c r="BT453" s="178"/>
      <c r="BU453" s="186"/>
      <c r="BV453" s="178"/>
      <c r="BW453" s="186"/>
      <c r="BX453" s="178"/>
      <c r="BY453" s="186"/>
      <c r="BZ453" s="178"/>
      <c r="CA453" s="186"/>
      <c r="CB453" s="178"/>
      <c r="CC453" s="186"/>
      <c r="CD453" s="178"/>
      <c r="CE453" s="186"/>
      <c r="CF453" s="178"/>
      <c r="CG453" s="186"/>
      <c r="CH453" s="178"/>
      <c r="CI453" s="186"/>
      <c r="CJ453" s="178"/>
      <c r="CK453" s="186"/>
      <c r="CL453" s="178"/>
      <c r="CM453" s="186"/>
      <c r="CN453" s="178"/>
      <c r="CO453" s="186"/>
      <c r="CP453" s="178"/>
      <c r="CQ453" s="186"/>
      <c r="CR453" s="178"/>
      <c r="CS453" s="186"/>
      <c r="CT453" s="178"/>
      <c r="CU453" s="186"/>
      <c r="CV453" s="178"/>
      <c r="CW453" s="186"/>
      <c r="CX453" s="178"/>
      <c r="CY453" s="186"/>
      <c r="CZ453" s="178"/>
      <c r="DA453" s="186"/>
      <c r="DB453" s="178"/>
      <c r="DC453" s="186"/>
      <c r="DD453" s="178"/>
      <c r="DE453" s="186"/>
      <c r="DF453" s="178"/>
      <c r="DG453" s="186"/>
      <c r="DH453" s="178"/>
      <c r="DI453" s="186"/>
      <c r="DJ453" s="178"/>
      <c r="DK453" s="186"/>
      <c r="DL453" s="178"/>
      <c r="DM453" s="186"/>
      <c r="DN453" s="178"/>
      <c r="DO453" s="186"/>
      <c r="DP453" s="178"/>
      <c r="DQ453" s="186"/>
      <c r="DR453" s="178"/>
      <c r="DS453" s="186"/>
      <c r="DT453" s="178"/>
      <c r="DU453" s="186"/>
      <c r="DV453" s="178"/>
      <c r="DW453" s="186"/>
      <c r="DX453" s="178"/>
      <c r="DY453" s="186"/>
      <c r="DZ453" s="178"/>
      <c r="EA453" s="186"/>
      <c r="EB453" s="178"/>
      <c r="EC453" s="186"/>
      <c r="ED453" s="178"/>
      <c r="EE453" s="186"/>
      <c r="EF453" s="178"/>
      <c r="EG453" s="186"/>
      <c r="EH453" s="178"/>
      <c r="EI453" s="186"/>
      <c r="EJ453" s="178"/>
      <c r="EK453" s="186"/>
      <c r="EL453" s="178"/>
      <c r="EM453" s="186"/>
      <c r="EN453" s="178"/>
      <c r="EO453" s="186"/>
      <c r="EP453" s="178"/>
      <c r="EQ453" s="186"/>
      <c r="ER453" s="178"/>
      <c r="ES453" s="186"/>
      <c r="ET453" s="178"/>
      <c r="EU453" s="186"/>
      <c r="EV453" s="178"/>
      <c r="EW453" s="186"/>
      <c r="EX453" s="178"/>
      <c r="EY453" s="186"/>
      <c r="EZ453" s="178"/>
      <c r="FA453" s="186"/>
      <c r="FB453" s="178"/>
      <c r="FC453" s="186"/>
      <c r="FD453" s="178"/>
      <c r="FE453" s="186"/>
      <c r="FF453" s="178"/>
      <c r="FG453" s="186"/>
      <c r="FH453" s="178"/>
      <c r="FI453" s="186"/>
      <c r="FJ453" s="178"/>
      <c r="FK453" s="186"/>
      <c r="FL453" s="178"/>
      <c r="FM453" s="186"/>
      <c r="FN453" s="178"/>
      <c r="FO453" s="186"/>
      <c r="FP453" s="178"/>
      <c r="FQ453" s="186"/>
      <c r="FR453" s="178"/>
      <c r="FS453" s="186"/>
      <c r="FT453" s="178"/>
      <c r="FU453" s="186"/>
      <c r="FV453" s="178"/>
      <c r="FW453" s="186"/>
      <c r="FX453" s="178"/>
      <c r="FY453" s="186"/>
      <c r="FZ453" s="178"/>
      <c r="GA453" s="186"/>
      <c r="GB453" s="178"/>
      <c r="GC453" s="186"/>
      <c r="GD453" s="178"/>
      <c r="GE453" s="186"/>
      <c r="GF453" s="178"/>
      <c r="GG453" s="186"/>
      <c r="GH453" s="178"/>
      <c r="GI453" s="186"/>
      <c r="GJ453" s="178"/>
      <c r="GK453" s="186"/>
      <c r="GL453" s="178"/>
      <c r="GM453" s="186"/>
      <c r="GN453" s="178"/>
      <c r="GO453" s="186"/>
      <c r="GP453" s="178"/>
      <c r="GQ453" s="186"/>
      <c r="GR453" s="178"/>
      <c r="GS453" s="186"/>
      <c r="GT453" s="178"/>
      <c r="GU453" s="186"/>
      <c r="GV453" s="178"/>
      <c r="GW453" s="186"/>
      <c r="GX453" s="178"/>
      <c r="GY453" s="186"/>
      <c r="GZ453" s="178"/>
      <c r="HA453" s="186"/>
      <c r="HB453" s="178"/>
      <c r="HC453" s="186"/>
      <c r="HD453" s="178"/>
      <c r="HE453" s="186"/>
      <c r="HF453" s="178"/>
      <c r="HG453" s="186"/>
      <c r="HH453" s="178"/>
      <c r="HI453" s="186"/>
      <c r="HJ453" s="178"/>
      <c r="HK453" s="186"/>
      <c r="HL453" s="178"/>
      <c r="HM453" s="186"/>
      <c r="HN453" s="178"/>
      <c r="HO453" s="186"/>
      <c r="HP453" s="178"/>
      <c r="HQ453" s="186"/>
      <c r="HR453" s="178"/>
      <c r="HS453" s="186"/>
      <c r="HT453" s="178"/>
      <c r="HU453" s="186"/>
      <c r="HV453" s="178"/>
      <c r="HW453" s="186"/>
      <c r="HX453" s="178"/>
      <c r="HY453" s="186"/>
      <c r="HZ453" s="178"/>
      <c r="IA453" s="186"/>
      <c r="IB453" s="178"/>
      <c r="IC453" s="186"/>
      <c r="ID453" s="178"/>
      <c r="IE453" s="186"/>
      <c r="IF453" s="178"/>
      <c r="IG453" s="186"/>
      <c r="IH453" s="178"/>
      <c r="II453" s="186"/>
      <c r="IJ453" s="178"/>
      <c r="IK453" s="186"/>
      <c r="IL453" s="178"/>
      <c r="IM453" s="186"/>
      <c r="IN453" s="178"/>
      <c r="IO453" s="186"/>
      <c r="IP453" s="178"/>
      <c r="IQ453" s="186"/>
      <c r="IR453" s="178"/>
      <c r="IS453" s="186"/>
      <c r="IT453" s="178"/>
      <c r="IU453" s="186"/>
      <c r="IV453" s="178"/>
    </row>
    <row r="454" spans="1:256" ht="15.75">
      <c r="A454" s="206" t="s">
        <v>631</v>
      </c>
      <c r="B454" s="207" t="str">
        <f>IF('06_GPRS_GSM'!G9="","None Entered",IF('06_GPRS_GSM'!G9="none","None Entered",IF('06_GPRS_GSM'!G9="No default value","None Entered",IF('06_GPRS_GSM'!G9="No default values","None Entered",'06_GPRS_GSM'!G9))))</f>
        <v>Hellomoto</v>
      </c>
      <c r="C454" s="198" t="s">
        <v>745</v>
      </c>
      <c r="D454" s="199" t="s">
        <v>1187</v>
      </c>
      <c r="E454" s="131" t="s">
        <v>596</v>
      </c>
      <c r="F454" s="113" t="str">
        <f aca="true" t="shared" si="3" ref="F454:F480">CONCATENATE("BytesPerData=2|ByteSwap=TRUE|StartByte=",H454,"|IfDataIsNullDisplay=None Entered")</f>
        <v>BytesPerData=2|ByteSwap=TRUE|StartByte=143|IfDataIsNullDisplay=None Entered</v>
      </c>
      <c r="G454" s="141"/>
      <c r="H454" s="221">
        <v>143</v>
      </c>
      <c r="I454" s="186"/>
      <c r="J454" s="178"/>
      <c r="K454" s="186"/>
      <c r="L454" s="178"/>
      <c r="M454" s="186"/>
      <c r="N454" s="178"/>
      <c r="O454" s="186"/>
      <c r="P454" s="178"/>
      <c r="Q454" s="186"/>
      <c r="R454" s="178"/>
      <c r="S454" s="186"/>
      <c r="T454" s="178"/>
      <c r="U454" s="186"/>
      <c r="V454" s="178"/>
      <c r="W454" s="186"/>
      <c r="X454" s="178"/>
      <c r="Y454" s="186"/>
      <c r="Z454" s="178"/>
      <c r="AA454" s="186"/>
      <c r="AB454" s="178"/>
      <c r="AC454" s="186"/>
      <c r="AD454" s="178"/>
      <c r="AE454" s="186"/>
      <c r="AF454" s="178"/>
      <c r="AG454" s="186"/>
      <c r="AH454" s="178"/>
      <c r="AI454" s="186"/>
      <c r="AJ454" s="178"/>
      <c r="AK454" s="186"/>
      <c r="AL454" s="178"/>
      <c r="AM454" s="186"/>
      <c r="AN454" s="178"/>
      <c r="AO454" s="186"/>
      <c r="AP454" s="178"/>
      <c r="AQ454" s="186"/>
      <c r="AR454" s="178"/>
      <c r="AS454" s="186"/>
      <c r="AT454" s="178"/>
      <c r="AU454" s="186"/>
      <c r="AV454" s="178"/>
      <c r="AW454" s="186"/>
      <c r="AX454" s="178"/>
      <c r="AY454" s="186"/>
      <c r="AZ454" s="178"/>
      <c r="BA454" s="186"/>
      <c r="BB454" s="178"/>
      <c r="BC454" s="186"/>
      <c r="BD454" s="178"/>
      <c r="BE454" s="186"/>
      <c r="BF454" s="178"/>
      <c r="BG454" s="186"/>
      <c r="BH454" s="178"/>
      <c r="BI454" s="186"/>
      <c r="BJ454" s="178"/>
      <c r="BK454" s="186"/>
      <c r="BL454" s="178"/>
      <c r="BM454" s="186"/>
      <c r="BN454" s="178"/>
      <c r="BO454" s="186"/>
      <c r="BP454" s="178"/>
      <c r="BQ454" s="186"/>
      <c r="BR454" s="178"/>
      <c r="BS454" s="186"/>
      <c r="BT454" s="178"/>
      <c r="BU454" s="186"/>
      <c r="BV454" s="178"/>
      <c r="BW454" s="186"/>
      <c r="BX454" s="178"/>
      <c r="BY454" s="186"/>
      <c r="BZ454" s="178"/>
      <c r="CA454" s="186"/>
      <c r="CB454" s="178"/>
      <c r="CC454" s="186"/>
      <c r="CD454" s="178"/>
      <c r="CE454" s="186"/>
      <c r="CF454" s="178"/>
      <c r="CG454" s="186"/>
      <c r="CH454" s="178"/>
      <c r="CI454" s="186"/>
      <c r="CJ454" s="178"/>
      <c r="CK454" s="186"/>
      <c r="CL454" s="178"/>
      <c r="CM454" s="186"/>
      <c r="CN454" s="178"/>
      <c r="CO454" s="186"/>
      <c r="CP454" s="178"/>
      <c r="CQ454" s="186"/>
      <c r="CR454" s="178"/>
      <c r="CS454" s="186"/>
      <c r="CT454" s="178"/>
      <c r="CU454" s="186"/>
      <c r="CV454" s="178"/>
      <c r="CW454" s="186"/>
      <c r="CX454" s="178"/>
      <c r="CY454" s="186"/>
      <c r="CZ454" s="178"/>
      <c r="DA454" s="186"/>
      <c r="DB454" s="178"/>
      <c r="DC454" s="186"/>
      <c r="DD454" s="178"/>
      <c r="DE454" s="186"/>
      <c r="DF454" s="178"/>
      <c r="DG454" s="186"/>
      <c r="DH454" s="178"/>
      <c r="DI454" s="186"/>
      <c r="DJ454" s="178"/>
      <c r="DK454" s="186"/>
      <c r="DL454" s="178"/>
      <c r="DM454" s="186"/>
      <c r="DN454" s="178"/>
      <c r="DO454" s="186"/>
      <c r="DP454" s="178"/>
      <c r="DQ454" s="186"/>
      <c r="DR454" s="178"/>
      <c r="DS454" s="186"/>
      <c r="DT454" s="178"/>
      <c r="DU454" s="186"/>
      <c r="DV454" s="178"/>
      <c r="DW454" s="186"/>
      <c r="DX454" s="178"/>
      <c r="DY454" s="186"/>
      <c r="DZ454" s="178"/>
      <c r="EA454" s="186"/>
      <c r="EB454" s="178"/>
      <c r="EC454" s="186"/>
      <c r="ED454" s="178"/>
      <c r="EE454" s="186"/>
      <c r="EF454" s="178"/>
      <c r="EG454" s="186"/>
      <c r="EH454" s="178"/>
      <c r="EI454" s="186"/>
      <c r="EJ454" s="178"/>
      <c r="EK454" s="186"/>
      <c r="EL454" s="178"/>
      <c r="EM454" s="186"/>
      <c r="EN454" s="178"/>
      <c r="EO454" s="186"/>
      <c r="EP454" s="178"/>
      <c r="EQ454" s="186"/>
      <c r="ER454" s="178"/>
      <c r="ES454" s="186"/>
      <c r="ET454" s="178"/>
      <c r="EU454" s="186"/>
      <c r="EV454" s="178"/>
      <c r="EW454" s="186"/>
      <c r="EX454" s="178"/>
      <c r="EY454" s="186"/>
      <c r="EZ454" s="178"/>
      <c r="FA454" s="186"/>
      <c r="FB454" s="178"/>
      <c r="FC454" s="186"/>
      <c r="FD454" s="178"/>
      <c r="FE454" s="186"/>
      <c r="FF454" s="178"/>
      <c r="FG454" s="186"/>
      <c r="FH454" s="178"/>
      <c r="FI454" s="186"/>
      <c r="FJ454" s="178"/>
      <c r="FK454" s="186"/>
      <c r="FL454" s="178"/>
      <c r="FM454" s="186"/>
      <c r="FN454" s="178"/>
      <c r="FO454" s="186"/>
      <c r="FP454" s="178"/>
      <c r="FQ454" s="186"/>
      <c r="FR454" s="178"/>
      <c r="FS454" s="186"/>
      <c r="FT454" s="178"/>
      <c r="FU454" s="186"/>
      <c r="FV454" s="178"/>
      <c r="FW454" s="186"/>
      <c r="FX454" s="178"/>
      <c r="FY454" s="186"/>
      <c r="FZ454" s="178"/>
      <c r="GA454" s="186"/>
      <c r="GB454" s="178"/>
      <c r="GC454" s="186"/>
      <c r="GD454" s="178"/>
      <c r="GE454" s="186"/>
      <c r="GF454" s="178"/>
      <c r="GG454" s="186"/>
      <c r="GH454" s="178"/>
      <c r="GI454" s="186"/>
      <c r="GJ454" s="178"/>
      <c r="GK454" s="186"/>
      <c r="GL454" s="178"/>
      <c r="GM454" s="186"/>
      <c r="GN454" s="178"/>
      <c r="GO454" s="186"/>
      <c r="GP454" s="178"/>
      <c r="GQ454" s="186"/>
      <c r="GR454" s="178"/>
      <c r="GS454" s="186"/>
      <c r="GT454" s="178"/>
      <c r="GU454" s="186"/>
      <c r="GV454" s="178"/>
      <c r="GW454" s="186"/>
      <c r="GX454" s="178"/>
      <c r="GY454" s="186"/>
      <c r="GZ454" s="178"/>
      <c r="HA454" s="186"/>
      <c r="HB454" s="178"/>
      <c r="HC454" s="186"/>
      <c r="HD454" s="178"/>
      <c r="HE454" s="186"/>
      <c r="HF454" s="178"/>
      <c r="HG454" s="186"/>
      <c r="HH454" s="178"/>
      <c r="HI454" s="186"/>
      <c r="HJ454" s="178"/>
      <c r="HK454" s="186"/>
      <c r="HL454" s="178"/>
      <c r="HM454" s="186"/>
      <c r="HN454" s="178"/>
      <c r="HO454" s="186"/>
      <c r="HP454" s="178"/>
      <c r="HQ454" s="186"/>
      <c r="HR454" s="178"/>
      <c r="HS454" s="186"/>
      <c r="HT454" s="178"/>
      <c r="HU454" s="186"/>
      <c r="HV454" s="178"/>
      <c r="HW454" s="186"/>
      <c r="HX454" s="178"/>
      <c r="HY454" s="186"/>
      <c r="HZ454" s="178"/>
      <c r="IA454" s="186"/>
      <c r="IB454" s="178"/>
      <c r="IC454" s="186"/>
      <c r="ID454" s="178"/>
      <c r="IE454" s="186"/>
      <c r="IF454" s="178"/>
      <c r="IG454" s="186"/>
      <c r="IH454" s="178"/>
      <c r="II454" s="186"/>
      <c r="IJ454" s="178"/>
      <c r="IK454" s="186"/>
      <c r="IL454" s="178"/>
      <c r="IM454" s="186"/>
      <c r="IN454" s="178"/>
      <c r="IO454" s="186"/>
      <c r="IP454" s="178"/>
      <c r="IQ454" s="186"/>
      <c r="IR454" s="178"/>
      <c r="IS454" s="186"/>
      <c r="IT454" s="178"/>
      <c r="IU454" s="186"/>
      <c r="IV454" s="178"/>
    </row>
    <row r="455" spans="1:256" ht="15.75">
      <c r="A455" s="206" t="s">
        <v>632</v>
      </c>
      <c r="B455" s="207" t="str">
        <f>IF('06_GPRS_GSM'!G10="","None Entered",IF('06_GPRS_GSM'!G10="none","None Entered",IF('06_GPRS_GSM'!G10="No default value","None Entered",IF('06_GPRS_GSM'!G10="No default values","None Entered",'06_GPRS_GSM'!G10))))</f>
        <v>http://www.hellomoto.com</v>
      </c>
      <c r="C455" s="198" t="s">
        <v>745</v>
      </c>
      <c r="D455" s="199" t="s">
        <v>1187</v>
      </c>
      <c r="E455" s="131" t="s">
        <v>596</v>
      </c>
      <c r="F455" s="113" t="str">
        <f aca="true" t="shared" si="4" ref="F455:F481">CONCATENATE("BytesPerData=1|ByteSwap=TRUE|StartByte=",H455,"|IfDataIsNullDisplay=None Entered")</f>
        <v>BytesPerData=1|ByteSwap=TRUE|StartByte=6|IfDataIsNullDisplay=None Entered</v>
      </c>
      <c r="G455" s="141"/>
      <c r="H455" s="221">
        <v>6</v>
      </c>
      <c r="I455" s="186"/>
      <c r="J455" s="178"/>
      <c r="K455" s="186"/>
      <c r="L455" s="178"/>
      <c r="M455" s="186"/>
      <c r="N455" s="178"/>
      <c r="O455" s="186"/>
      <c r="P455" s="178"/>
      <c r="Q455" s="186"/>
      <c r="R455" s="178"/>
      <c r="S455" s="186"/>
      <c r="T455" s="178"/>
      <c r="U455" s="186"/>
      <c r="V455" s="178"/>
      <c r="W455" s="186"/>
      <c r="X455" s="178"/>
      <c r="Y455" s="186"/>
      <c r="Z455" s="178"/>
      <c r="AA455" s="186"/>
      <c r="AB455" s="178"/>
      <c r="AC455" s="186"/>
      <c r="AD455" s="178"/>
      <c r="AE455" s="186"/>
      <c r="AF455" s="178"/>
      <c r="AG455" s="186"/>
      <c r="AH455" s="178"/>
      <c r="AI455" s="186"/>
      <c r="AJ455" s="178"/>
      <c r="AK455" s="186"/>
      <c r="AL455" s="178"/>
      <c r="AM455" s="186"/>
      <c r="AN455" s="178"/>
      <c r="AO455" s="186"/>
      <c r="AP455" s="178"/>
      <c r="AQ455" s="186"/>
      <c r="AR455" s="178"/>
      <c r="AS455" s="186"/>
      <c r="AT455" s="178"/>
      <c r="AU455" s="186"/>
      <c r="AV455" s="178"/>
      <c r="AW455" s="186"/>
      <c r="AX455" s="178"/>
      <c r="AY455" s="186"/>
      <c r="AZ455" s="178"/>
      <c r="BA455" s="186"/>
      <c r="BB455" s="178"/>
      <c r="BC455" s="186"/>
      <c r="BD455" s="178"/>
      <c r="BE455" s="186"/>
      <c r="BF455" s="178"/>
      <c r="BG455" s="186"/>
      <c r="BH455" s="178"/>
      <c r="BI455" s="186"/>
      <c r="BJ455" s="178"/>
      <c r="BK455" s="186"/>
      <c r="BL455" s="178"/>
      <c r="BM455" s="186"/>
      <c r="BN455" s="178"/>
      <c r="BO455" s="186"/>
      <c r="BP455" s="178"/>
      <c r="BQ455" s="186"/>
      <c r="BR455" s="178"/>
      <c r="BS455" s="186"/>
      <c r="BT455" s="178"/>
      <c r="BU455" s="186"/>
      <c r="BV455" s="178"/>
      <c r="BW455" s="186"/>
      <c r="BX455" s="178"/>
      <c r="BY455" s="186"/>
      <c r="BZ455" s="178"/>
      <c r="CA455" s="186"/>
      <c r="CB455" s="178"/>
      <c r="CC455" s="186"/>
      <c r="CD455" s="178"/>
      <c r="CE455" s="186"/>
      <c r="CF455" s="178"/>
      <c r="CG455" s="186"/>
      <c r="CH455" s="178"/>
      <c r="CI455" s="186"/>
      <c r="CJ455" s="178"/>
      <c r="CK455" s="186"/>
      <c r="CL455" s="178"/>
      <c r="CM455" s="186"/>
      <c r="CN455" s="178"/>
      <c r="CO455" s="186"/>
      <c r="CP455" s="178"/>
      <c r="CQ455" s="186"/>
      <c r="CR455" s="178"/>
      <c r="CS455" s="186"/>
      <c r="CT455" s="178"/>
      <c r="CU455" s="186"/>
      <c r="CV455" s="178"/>
      <c r="CW455" s="186"/>
      <c r="CX455" s="178"/>
      <c r="CY455" s="186"/>
      <c r="CZ455" s="178"/>
      <c r="DA455" s="186"/>
      <c r="DB455" s="178"/>
      <c r="DC455" s="186"/>
      <c r="DD455" s="178"/>
      <c r="DE455" s="186"/>
      <c r="DF455" s="178"/>
      <c r="DG455" s="186"/>
      <c r="DH455" s="178"/>
      <c r="DI455" s="186"/>
      <c r="DJ455" s="178"/>
      <c r="DK455" s="186"/>
      <c r="DL455" s="178"/>
      <c r="DM455" s="186"/>
      <c r="DN455" s="178"/>
      <c r="DO455" s="186"/>
      <c r="DP455" s="178"/>
      <c r="DQ455" s="186"/>
      <c r="DR455" s="178"/>
      <c r="DS455" s="186"/>
      <c r="DT455" s="178"/>
      <c r="DU455" s="186"/>
      <c r="DV455" s="178"/>
      <c r="DW455" s="186"/>
      <c r="DX455" s="178"/>
      <c r="DY455" s="186"/>
      <c r="DZ455" s="178"/>
      <c r="EA455" s="186"/>
      <c r="EB455" s="178"/>
      <c r="EC455" s="186"/>
      <c r="ED455" s="178"/>
      <c r="EE455" s="186"/>
      <c r="EF455" s="178"/>
      <c r="EG455" s="186"/>
      <c r="EH455" s="178"/>
      <c r="EI455" s="186"/>
      <c r="EJ455" s="178"/>
      <c r="EK455" s="186"/>
      <c r="EL455" s="178"/>
      <c r="EM455" s="186"/>
      <c r="EN455" s="178"/>
      <c r="EO455" s="186"/>
      <c r="EP455" s="178"/>
      <c r="EQ455" s="186"/>
      <c r="ER455" s="178"/>
      <c r="ES455" s="186"/>
      <c r="ET455" s="178"/>
      <c r="EU455" s="186"/>
      <c r="EV455" s="178"/>
      <c r="EW455" s="186"/>
      <c r="EX455" s="178"/>
      <c r="EY455" s="186"/>
      <c r="EZ455" s="178"/>
      <c r="FA455" s="186"/>
      <c r="FB455" s="178"/>
      <c r="FC455" s="186"/>
      <c r="FD455" s="178"/>
      <c r="FE455" s="186"/>
      <c r="FF455" s="178"/>
      <c r="FG455" s="186"/>
      <c r="FH455" s="178"/>
      <c r="FI455" s="186"/>
      <c r="FJ455" s="178"/>
      <c r="FK455" s="186"/>
      <c r="FL455" s="178"/>
      <c r="FM455" s="186"/>
      <c r="FN455" s="178"/>
      <c r="FO455" s="186"/>
      <c r="FP455" s="178"/>
      <c r="FQ455" s="186"/>
      <c r="FR455" s="178"/>
      <c r="FS455" s="186"/>
      <c r="FT455" s="178"/>
      <c r="FU455" s="186"/>
      <c r="FV455" s="178"/>
      <c r="FW455" s="186"/>
      <c r="FX455" s="178"/>
      <c r="FY455" s="186"/>
      <c r="FZ455" s="178"/>
      <c r="GA455" s="186"/>
      <c r="GB455" s="178"/>
      <c r="GC455" s="186"/>
      <c r="GD455" s="178"/>
      <c r="GE455" s="186"/>
      <c r="GF455" s="178"/>
      <c r="GG455" s="186"/>
      <c r="GH455" s="178"/>
      <c r="GI455" s="186"/>
      <c r="GJ455" s="178"/>
      <c r="GK455" s="186"/>
      <c r="GL455" s="178"/>
      <c r="GM455" s="186"/>
      <c r="GN455" s="178"/>
      <c r="GO455" s="186"/>
      <c r="GP455" s="178"/>
      <c r="GQ455" s="186"/>
      <c r="GR455" s="178"/>
      <c r="GS455" s="186"/>
      <c r="GT455" s="178"/>
      <c r="GU455" s="186"/>
      <c r="GV455" s="178"/>
      <c r="GW455" s="186"/>
      <c r="GX455" s="178"/>
      <c r="GY455" s="186"/>
      <c r="GZ455" s="178"/>
      <c r="HA455" s="186"/>
      <c r="HB455" s="178"/>
      <c r="HC455" s="186"/>
      <c r="HD455" s="178"/>
      <c r="HE455" s="186"/>
      <c r="HF455" s="178"/>
      <c r="HG455" s="186"/>
      <c r="HH455" s="178"/>
      <c r="HI455" s="186"/>
      <c r="HJ455" s="178"/>
      <c r="HK455" s="186"/>
      <c r="HL455" s="178"/>
      <c r="HM455" s="186"/>
      <c r="HN455" s="178"/>
      <c r="HO455" s="186"/>
      <c r="HP455" s="178"/>
      <c r="HQ455" s="186"/>
      <c r="HR455" s="178"/>
      <c r="HS455" s="186"/>
      <c r="HT455" s="178"/>
      <c r="HU455" s="186"/>
      <c r="HV455" s="178"/>
      <c r="HW455" s="186"/>
      <c r="HX455" s="178"/>
      <c r="HY455" s="186"/>
      <c r="HZ455" s="178"/>
      <c r="IA455" s="186"/>
      <c r="IB455" s="178"/>
      <c r="IC455" s="186"/>
      <c r="ID455" s="178"/>
      <c r="IE455" s="186"/>
      <c r="IF455" s="178"/>
      <c r="IG455" s="186"/>
      <c r="IH455" s="178"/>
      <c r="II455" s="186"/>
      <c r="IJ455" s="178"/>
      <c r="IK455" s="186"/>
      <c r="IL455" s="178"/>
      <c r="IM455" s="186"/>
      <c r="IN455" s="178"/>
      <c r="IO455" s="186"/>
      <c r="IP455" s="178"/>
      <c r="IQ455" s="186"/>
      <c r="IR455" s="178"/>
      <c r="IS455" s="186"/>
      <c r="IT455" s="178"/>
      <c r="IU455" s="186"/>
      <c r="IV455" s="178"/>
    </row>
    <row r="456" spans="1:256" ht="15.75">
      <c r="A456" s="206" t="s">
        <v>634</v>
      </c>
      <c r="B456" s="207" t="str">
        <f>IF('06_GPRS_GSM'!G11="","None Entered",IF('06_GPRS_GSM'!G11="none","None Entered",IF('06_GPRS_GSM'!G11="No default value","None Entered",IF('06_GPRS_GSM'!G11="No default values","None Entered",'06_GPRS_GSM'!G11))))</f>
        <v>None Entered</v>
      </c>
      <c r="C456" s="198" t="s">
        <v>745</v>
      </c>
      <c r="D456" s="199" t="s">
        <v>1187</v>
      </c>
      <c r="E456" s="131" t="s">
        <v>596</v>
      </c>
      <c r="F456" s="113" t="str">
        <f t="shared" si="3"/>
        <v>BytesPerData=2|ByteSwap=TRUE|StartByte=355|IfDataIsNullDisplay=None Entered</v>
      </c>
      <c r="G456" s="141"/>
      <c r="H456" s="221">
        <f>H454+212</f>
        <v>355</v>
      </c>
      <c r="I456" s="186"/>
      <c r="J456" s="178"/>
      <c r="K456" s="186"/>
      <c r="L456" s="178"/>
      <c r="M456" s="186"/>
      <c r="N456" s="178"/>
      <c r="O456" s="186"/>
      <c r="P456" s="178"/>
      <c r="Q456" s="186"/>
      <c r="R456" s="178"/>
      <c r="S456" s="186"/>
      <c r="T456" s="178"/>
      <c r="U456" s="186"/>
      <c r="V456" s="178"/>
      <c r="W456" s="186"/>
      <c r="X456" s="178"/>
      <c r="Y456" s="186"/>
      <c r="Z456" s="178"/>
      <c r="AA456" s="186"/>
      <c r="AB456" s="178"/>
      <c r="AC456" s="186"/>
      <c r="AD456" s="178"/>
      <c r="AE456" s="186"/>
      <c r="AF456" s="178"/>
      <c r="AG456" s="186"/>
      <c r="AH456" s="178"/>
      <c r="AI456" s="186"/>
      <c r="AJ456" s="178"/>
      <c r="AK456" s="186"/>
      <c r="AL456" s="178"/>
      <c r="AM456" s="186"/>
      <c r="AN456" s="178"/>
      <c r="AO456" s="186"/>
      <c r="AP456" s="178"/>
      <c r="AQ456" s="186"/>
      <c r="AR456" s="178"/>
      <c r="AS456" s="186"/>
      <c r="AT456" s="178"/>
      <c r="AU456" s="186"/>
      <c r="AV456" s="178"/>
      <c r="AW456" s="186"/>
      <c r="AX456" s="178"/>
      <c r="AY456" s="186"/>
      <c r="AZ456" s="178"/>
      <c r="BA456" s="186"/>
      <c r="BB456" s="178"/>
      <c r="BC456" s="186"/>
      <c r="BD456" s="178"/>
      <c r="BE456" s="186"/>
      <c r="BF456" s="178"/>
      <c r="BG456" s="186"/>
      <c r="BH456" s="178"/>
      <c r="BI456" s="186"/>
      <c r="BJ456" s="178"/>
      <c r="BK456" s="186"/>
      <c r="BL456" s="178"/>
      <c r="BM456" s="186"/>
      <c r="BN456" s="178"/>
      <c r="BO456" s="186"/>
      <c r="BP456" s="178"/>
      <c r="BQ456" s="186"/>
      <c r="BR456" s="178"/>
      <c r="BS456" s="186"/>
      <c r="BT456" s="178"/>
      <c r="BU456" s="186"/>
      <c r="BV456" s="178"/>
      <c r="BW456" s="186"/>
      <c r="BX456" s="178"/>
      <c r="BY456" s="186"/>
      <c r="BZ456" s="178"/>
      <c r="CA456" s="186"/>
      <c r="CB456" s="178"/>
      <c r="CC456" s="186"/>
      <c r="CD456" s="178"/>
      <c r="CE456" s="186"/>
      <c r="CF456" s="178"/>
      <c r="CG456" s="186"/>
      <c r="CH456" s="178"/>
      <c r="CI456" s="186"/>
      <c r="CJ456" s="178"/>
      <c r="CK456" s="186"/>
      <c r="CL456" s="178"/>
      <c r="CM456" s="186"/>
      <c r="CN456" s="178"/>
      <c r="CO456" s="186"/>
      <c r="CP456" s="178"/>
      <c r="CQ456" s="186"/>
      <c r="CR456" s="178"/>
      <c r="CS456" s="186"/>
      <c r="CT456" s="178"/>
      <c r="CU456" s="186"/>
      <c r="CV456" s="178"/>
      <c r="CW456" s="186"/>
      <c r="CX456" s="178"/>
      <c r="CY456" s="186"/>
      <c r="CZ456" s="178"/>
      <c r="DA456" s="186"/>
      <c r="DB456" s="178"/>
      <c r="DC456" s="186"/>
      <c r="DD456" s="178"/>
      <c r="DE456" s="186"/>
      <c r="DF456" s="178"/>
      <c r="DG456" s="186"/>
      <c r="DH456" s="178"/>
      <c r="DI456" s="186"/>
      <c r="DJ456" s="178"/>
      <c r="DK456" s="186"/>
      <c r="DL456" s="178"/>
      <c r="DM456" s="186"/>
      <c r="DN456" s="178"/>
      <c r="DO456" s="186"/>
      <c r="DP456" s="178"/>
      <c r="DQ456" s="186"/>
      <c r="DR456" s="178"/>
      <c r="DS456" s="186"/>
      <c r="DT456" s="178"/>
      <c r="DU456" s="186"/>
      <c r="DV456" s="178"/>
      <c r="DW456" s="186"/>
      <c r="DX456" s="178"/>
      <c r="DY456" s="186"/>
      <c r="DZ456" s="178"/>
      <c r="EA456" s="186"/>
      <c r="EB456" s="178"/>
      <c r="EC456" s="186"/>
      <c r="ED456" s="178"/>
      <c r="EE456" s="186"/>
      <c r="EF456" s="178"/>
      <c r="EG456" s="186"/>
      <c r="EH456" s="178"/>
      <c r="EI456" s="186"/>
      <c r="EJ456" s="178"/>
      <c r="EK456" s="186"/>
      <c r="EL456" s="178"/>
      <c r="EM456" s="186"/>
      <c r="EN456" s="178"/>
      <c r="EO456" s="186"/>
      <c r="EP456" s="178"/>
      <c r="EQ456" s="186"/>
      <c r="ER456" s="178"/>
      <c r="ES456" s="186"/>
      <c r="ET456" s="178"/>
      <c r="EU456" s="186"/>
      <c r="EV456" s="178"/>
      <c r="EW456" s="186"/>
      <c r="EX456" s="178"/>
      <c r="EY456" s="186"/>
      <c r="EZ456" s="178"/>
      <c r="FA456" s="186"/>
      <c r="FB456" s="178"/>
      <c r="FC456" s="186"/>
      <c r="FD456" s="178"/>
      <c r="FE456" s="186"/>
      <c r="FF456" s="178"/>
      <c r="FG456" s="186"/>
      <c r="FH456" s="178"/>
      <c r="FI456" s="186"/>
      <c r="FJ456" s="178"/>
      <c r="FK456" s="186"/>
      <c r="FL456" s="178"/>
      <c r="FM456" s="186"/>
      <c r="FN456" s="178"/>
      <c r="FO456" s="186"/>
      <c r="FP456" s="178"/>
      <c r="FQ456" s="186"/>
      <c r="FR456" s="178"/>
      <c r="FS456" s="186"/>
      <c r="FT456" s="178"/>
      <c r="FU456" s="186"/>
      <c r="FV456" s="178"/>
      <c r="FW456" s="186"/>
      <c r="FX456" s="178"/>
      <c r="FY456" s="186"/>
      <c r="FZ456" s="178"/>
      <c r="GA456" s="186"/>
      <c r="GB456" s="178"/>
      <c r="GC456" s="186"/>
      <c r="GD456" s="178"/>
      <c r="GE456" s="186"/>
      <c r="GF456" s="178"/>
      <c r="GG456" s="186"/>
      <c r="GH456" s="178"/>
      <c r="GI456" s="186"/>
      <c r="GJ456" s="178"/>
      <c r="GK456" s="186"/>
      <c r="GL456" s="178"/>
      <c r="GM456" s="186"/>
      <c r="GN456" s="178"/>
      <c r="GO456" s="186"/>
      <c r="GP456" s="178"/>
      <c r="GQ456" s="186"/>
      <c r="GR456" s="178"/>
      <c r="GS456" s="186"/>
      <c r="GT456" s="178"/>
      <c r="GU456" s="186"/>
      <c r="GV456" s="178"/>
      <c r="GW456" s="186"/>
      <c r="GX456" s="178"/>
      <c r="GY456" s="186"/>
      <c r="GZ456" s="178"/>
      <c r="HA456" s="186"/>
      <c r="HB456" s="178"/>
      <c r="HC456" s="186"/>
      <c r="HD456" s="178"/>
      <c r="HE456" s="186"/>
      <c r="HF456" s="178"/>
      <c r="HG456" s="186"/>
      <c r="HH456" s="178"/>
      <c r="HI456" s="186"/>
      <c r="HJ456" s="178"/>
      <c r="HK456" s="186"/>
      <c r="HL456" s="178"/>
      <c r="HM456" s="186"/>
      <c r="HN456" s="178"/>
      <c r="HO456" s="186"/>
      <c r="HP456" s="178"/>
      <c r="HQ456" s="186"/>
      <c r="HR456" s="178"/>
      <c r="HS456" s="186"/>
      <c r="HT456" s="178"/>
      <c r="HU456" s="186"/>
      <c r="HV456" s="178"/>
      <c r="HW456" s="186"/>
      <c r="HX456" s="178"/>
      <c r="HY456" s="186"/>
      <c r="HZ456" s="178"/>
      <c r="IA456" s="186"/>
      <c r="IB456" s="178"/>
      <c r="IC456" s="186"/>
      <c r="ID456" s="178"/>
      <c r="IE456" s="186"/>
      <c r="IF456" s="178"/>
      <c r="IG456" s="186"/>
      <c r="IH456" s="178"/>
      <c r="II456" s="186"/>
      <c r="IJ456" s="178"/>
      <c r="IK456" s="186"/>
      <c r="IL456" s="178"/>
      <c r="IM456" s="186"/>
      <c r="IN456" s="178"/>
      <c r="IO456" s="186"/>
      <c r="IP456" s="178"/>
      <c r="IQ456" s="186"/>
      <c r="IR456" s="178"/>
      <c r="IS456" s="186"/>
      <c r="IT456" s="178"/>
      <c r="IU456" s="186"/>
      <c r="IV456" s="178"/>
    </row>
    <row r="457" spans="1:256" ht="15.75">
      <c r="A457" s="206" t="s">
        <v>633</v>
      </c>
      <c r="B457" s="207" t="str">
        <f>IF('06_GPRS_GSM'!G12="","None Entered",IF('06_GPRS_GSM'!G12="none","None Entered",IF('06_GPRS_GSM'!G12="No default value","None Entered",IF('06_GPRS_GSM'!G12="No default values","None Entered",'06_GPRS_GSM'!G12))))</f>
        <v>None Entered</v>
      </c>
      <c r="C457" s="198" t="s">
        <v>745</v>
      </c>
      <c r="D457" s="199" t="s">
        <v>1187</v>
      </c>
      <c r="E457" s="131" t="s">
        <v>596</v>
      </c>
      <c r="F457" s="113" t="str">
        <f t="shared" si="4"/>
        <v>BytesPerData=1|ByteSwap=TRUE|StartByte=218|IfDataIsNullDisplay=None Entered</v>
      </c>
      <c r="G457" s="141"/>
      <c r="H457" s="221">
        <f>H455+212</f>
        <v>218</v>
      </c>
      <c r="I457" s="186"/>
      <c r="J457" s="178"/>
      <c r="K457" s="186"/>
      <c r="L457" s="178"/>
      <c r="M457" s="186"/>
      <c r="N457" s="178"/>
      <c r="O457" s="186"/>
      <c r="P457" s="178"/>
      <c r="Q457" s="186"/>
      <c r="R457" s="178"/>
      <c r="S457" s="186"/>
      <c r="T457" s="178"/>
      <c r="U457" s="186"/>
      <c r="V457" s="178"/>
      <c r="W457" s="186"/>
      <c r="X457" s="178"/>
      <c r="Y457" s="186"/>
      <c r="Z457" s="178"/>
      <c r="AA457" s="186"/>
      <c r="AB457" s="178"/>
      <c r="AC457" s="186"/>
      <c r="AD457" s="178"/>
      <c r="AE457" s="186"/>
      <c r="AF457" s="178"/>
      <c r="AG457" s="186"/>
      <c r="AH457" s="178"/>
      <c r="AI457" s="186"/>
      <c r="AJ457" s="178"/>
      <c r="AK457" s="186"/>
      <c r="AL457" s="178"/>
      <c r="AM457" s="186"/>
      <c r="AN457" s="178"/>
      <c r="AO457" s="186"/>
      <c r="AP457" s="178"/>
      <c r="AQ457" s="186"/>
      <c r="AR457" s="178"/>
      <c r="AS457" s="186"/>
      <c r="AT457" s="178"/>
      <c r="AU457" s="186"/>
      <c r="AV457" s="178"/>
      <c r="AW457" s="186"/>
      <c r="AX457" s="178"/>
      <c r="AY457" s="186"/>
      <c r="AZ457" s="178"/>
      <c r="BA457" s="186"/>
      <c r="BB457" s="178"/>
      <c r="BC457" s="186"/>
      <c r="BD457" s="178"/>
      <c r="BE457" s="186"/>
      <c r="BF457" s="178"/>
      <c r="BG457" s="186"/>
      <c r="BH457" s="178"/>
      <c r="BI457" s="186"/>
      <c r="BJ457" s="178"/>
      <c r="BK457" s="186"/>
      <c r="BL457" s="178"/>
      <c r="BM457" s="186"/>
      <c r="BN457" s="178"/>
      <c r="BO457" s="186"/>
      <c r="BP457" s="178"/>
      <c r="BQ457" s="186"/>
      <c r="BR457" s="178"/>
      <c r="BS457" s="186"/>
      <c r="BT457" s="178"/>
      <c r="BU457" s="186"/>
      <c r="BV457" s="178"/>
      <c r="BW457" s="186"/>
      <c r="BX457" s="178"/>
      <c r="BY457" s="186"/>
      <c r="BZ457" s="178"/>
      <c r="CA457" s="186"/>
      <c r="CB457" s="178"/>
      <c r="CC457" s="186"/>
      <c r="CD457" s="178"/>
      <c r="CE457" s="186"/>
      <c r="CF457" s="178"/>
      <c r="CG457" s="186"/>
      <c r="CH457" s="178"/>
      <c r="CI457" s="186"/>
      <c r="CJ457" s="178"/>
      <c r="CK457" s="186"/>
      <c r="CL457" s="178"/>
      <c r="CM457" s="186"/>
      <c r="CN457" s="178"/>
      <c r="CO457" s="186"/>
      <c r="CP457" s="178"/>
      <c r="CQ457" s="186"/>
      <c r="CR457" s="178"/>
      <c r="CS457" s="186"/>
      <c r="CT457" s="178"/>
      <c r="CU457" s="186"/>
      <c r="CV457" s="178"/>
      <c r="CW457" s="186"/>
      <c r="CX457" s="178"/>
      <c r="CY457" s="186"/>
      <c r="CZ457" s="178"/>
      <c r="DA457" s="186"/>
      <c r="DB457" s="178"/>
      <c r="DC457" s="186"/>
      <c r="DD457" s="178"/>
      <c r="DE457" s="186"/>
      <c r="DF457" s="178"/>
      <c r="DG457" s="186"/>
      <c r="DH457" s="178"/>
      <c r="DI457" s="186"/>
      <c r="DJ457" s="178"/>
      <c r="DK457" s="186"/>
      <c r="DL457" s="178"/>
      <c r="DM457" s="186"/>
      <c r="DN457" s="178"/>
      <c r="DO457" s="186"/>
      <c r="DP457" s="178"/>
      <c r="DQ457" s="186"/>
      <c r="DR457" s="178"/>
      <c r="DS457" s="186"/>
      <c r="DT457" s="178"/>
      <c r="DU457" s="186"/>
      <c r="DV457" s="178"/>
      <c r="DW457" s="186"/>
      <c r="DX457" s="178"/>
      <c r="DY457" s="186"/>
      <c r="DZ457" s="178"/>
      <c r="EA457" s="186"/>
      <c r="EB457" s="178"/>
      <c r="EC457" s="186"/>
      <c r="ED457" s="178"/>
      <c r="EE457" s="186"/>
      <c r="EF457" s="178"/>
      <c r="EG457" s="186"/>
      <c r="EH457" s="178"/>
      <c r="EI457" s="186"/>
      <c r="EJ457" s="178"/>
      <c r="EK457" s="186"/>
      <c r="EL457" s="178"/>
      <c r="EM457" s="186"/>
      <c r="EN457" s="178"/>
      <c r="EO457" s="186"/>
      <c r="EP457" s="178"/>
      <c r="EQ457" s="186"/>
      <c r="ER457" s="178"/>
      <c r="ES457" s="186"/>
      <c r="ET457" s="178"/>
      <c r="EU457" s="186"/>
      <c r="EV457" s="178"/>
      <c r="EW457" s="186"/>
      <c r="EX457" s="178"/>
      <c r="EY457" s="186"/>
      <c r="EZ457" s="178"/>
      <c r="FA457" s="186"/>
      <c r="FB457" s="178"/>
      <c r="FC457" s="186"/>
      <c r="FD457" s="178"/>
      <c r="FE457" s="186"/>
      <c r="FF457" s="178"/>
      <c r="FG457" s="186"/>
      <c r="FH457" s="178"/>
      <c r="FI457" s="186"/>
      <c r="FJ457" s="178"/>
      <c r="FK457" s="186"/>
      <c r="FL457" s="178"/>
      <c r="FM457" s="186"/>
      <c r="FN457" s="178"/>
      <c r="FO457" s="186"/>
      <c r="FP457" s="178"/>
      <c r="FQ457" s="186"/>
      <c r="FR457" s="178"/>
      <c r="FS457" s="186"/>
      <c r="FT457" s="178"/>
      <c r="FU457" s="186"/>
      <c r="FV457" s="178"/>
      <c r="FW457" s="186"/>
      <c r="FX457" s="178"/>
      <c r="FY457" s="186"/>
      <c r="FZ457" s="178"/>
      <c r="GA457" s="186"/>
      <c r="GB457" s="178"/>
      <c r="GC457" s="186"/>
      <c r="GD457" s="178"/>
      <c r="GE457" s="186"/>
      <c r="GF457" s="178"/>
      <c r="GG457" s="186"/>
      <c r="GH457" s="178"/>
      <c r="GI457" s="186"/>
      <c r="GJ457" s="178"/>
      <c r="GK457" s="186"/>
      <c r="GL457" s="178"/>
      <c r="GM457" s="186"/>
      <c r="GN457" s="178"/>
      <c r="GO457" s="186"/>
      <c r="GP457" s="178"/>
      <c r="GQ457" s="186"/>
      <c r="GR457" s="178"/>
      <c r="GS457" s="186"/>
      <c r="GT457" s="178"/>
      <c r="GU457" s="186"/>
      <c r="GV457" s="178"/>
      <c r="GW457" s="186"/>
      <c r="GX457" s="178"/>
      <c r="GY457" s="186"/>
      <c r="GZ457" s="178"/>
      <c r="HA457" s="186"/>
      <c r="HB457" s="178"/>
      <c r="HC457" s="186"/>
      <c r="HD457" s="178"/>
      <c r="HE457" s="186"/>
      <c r="HF457" s="178"/>
      <c r="HG457" s="186"/>
      <c r="HH457" s="178"/>
      <c r="HI457" s="186"/>
      <c r="HJ457" s="178"/>
      <c r="HK457" s="186"/>
      <c r="HL457" s="178"/>
      <c r="HM457" s="186"/>
      <c r="HN457" s="178"/>
      <c r="HO457" s="186"/>
      <c r="HP457" s="178"/>
      <c r="HQ457" s="186"/>
      <c r="HR457" s="178"/>
      <c r="HS457" s="186"/>
      <c r="HT457" s="178"/>
      <c r="HU457" s="186"/>
      <c r="HV457" s="178"/>
      <c r="HW457" s="186"/>
      <c r="HX457" s="178"/>
      <c r="HY457" s="186"/>
      <c r="HZ457" s="178"/>
      <c r="IA457" s="186"/>
      <c r="IB457" s="178"/>
      <c r="IC457" s="186"/>
      <c r="ID457" s="178"/>
      <c r="IE457" s="186"/>
      <c r="IF457" s="178"/>
      <c r="IG457" s="186"/>
      <c r="IH457" s="178"/>
      <c r="II457" s="186"/>
      <c r="IJ457" s="178"/>
      <c r="IK457" s="186"/>
      <c r="IL457" s="178"/>
      <c r="IM457" s="186"/>
      <c r="IN457" s="178"/>
      <c r="IO457" s="186"/>
      <c r="IP457" s="178"/>
      <c r="IQ457" s="186"/>
      <c r="IR457" s="178"/>
      <c r="IS457" s="186"/>
      <c r="IT457" s="178"/>
      <c r="IU457" s="186"/>
      <c r="IV457" s="178"/>
    </row>
    <row r="458" spans="1:256" ht="15.75">
      <c r="A458" s="206" t="s">
        <v>917</v>
      </c>
      <c r="B458" s="207" t="str">
        <f>IF('06_GPRS_GSM'!G13="","None Entered",IF('06_GPRS_GSM'!G13="none","None Entered",IF('06_GPRS_GSM'!G13="No default value","None Entered",IF('06_GPRS_GSM'!G13="No default values","None Entered",'06_GPRS_GSM'!G13))))</f>
        <v>None Entered</v>
      </c>
      <c r="C458" s="198" t="s">
        <v>745</v>
      </c>
      <c r="D458" s="199" t="s">
        <v>1187</v>
      </c>
      <c r="E458" s="131" t="s">
        <v>596</v>
      </c>
      <c r="F458" s="113" t="str">
        <f t="shared" si="3"/>
        <v>BytesPerData=2|ByteSwap=TRUE|StartByte=567|IfDataIsNullDisplay=None Entered</v>
      </c>
      <c r="G458" s="141"/>
      <c r="H458" s="221">
        <f aca="true" t="shared" si="5" ref="H458:H483">H456+212</f>
        <v>567</v>
      </c>
      <c r="I458" s="186"/>
      <c r="J458" s="178"/>
      <c r="K458" s="186"/>
      <c r="L458" s="178"/>
      <c r="M458" s="186"/>
      <c r="N458" s="178"/>
      <c r="O458" s="186"/>
      <c r="P458" s="178"/>
      <c r="Q458" s="186"/>
      <c r="R458" s="178"/>
      <c r="S458" s="186"/>
      <c r="T458" s="178"/>
      <c r="U458" s="186"/>
      <c r="V458" s="178"/>
      <c r="W458" s="186"/>
      <c r="X458" s="178"/>
      <c r="Y458" s="186"/>
      <c r="Z458" s="178"/>
      <c r="AA458" s="186"/>
      <c r="AB458" s="178"/>
      <c r="AC458" s="186"/>
      <c r="AD458" s="178"/>
      <c r="AE458" s="186"/>
      <c r="AF458" s="178"/>
      <c r="AG458" s="186"/>
      <c r="AH458" s="178"/>
      <c r="AI458" s="186"/>
      <c r="AJ458" s="178"/>
      <c r="AK458" s="186"/>
      <c r="AL458" s="178"/>
      <c r="AM458" s="186"/>
      <c r="AN458" s="178"/>
      <c r="AO458" s="186"/>
      <c r="AP458" s="178"/>
      <c r="AQ458" s="186"/>
      <c r="AR458" s="178"/>
      <c r="AS458" s="186"/>
      <c r="AT458" s="178"/>
      <c r="AU458" s="186"/>
      <c r="AV458" s="178"/>
      <c r="AW458" s="186"/>
      <c r="AX458" s="178"/>
      <c r="AY458" s="186"/>
      <c r="AZ458" s="178"/>
      <c r="BA458" s="186"/>
      <c r="BB458" s="178"/>
      <c r="BC458" s="186"/>
      <c r="BD458" s="178"/>
      <c r="BE458" s="186"/>
      <c r="BF458" s="178"/>
      <c r="BG458" s="186"/>
      <c r="BH458" s="178"/>
      <c r="BI458" s="186"/>
      <c r="BJ458" s="178"/>
      <c r="BK458" s="186"/>
      <c r="BL458" s="178"/>
      <c r="BM458" s="186"/>
      <c r="BN458" s="178"/>
      <c r="BO458" s="186"/>
      <c r="BP458" s="178"/>
      <c r="BQ458" s="186"/>
      <c r="BR458" s="178"/>
      <c r="BS458" s="186"/>
      <c r="BT458" s="178"/>
      <c r="BU458" s="186"/>
      <c r="BV458" s="178"/>
      <c r="BW458" s="186"/>
      <c r="BX458" s="178"/>
      <c r="BY458" s="186"/>
      <c r="BZ458" s="178"/>
      <c r="CA458" s="186"/>
      <c r="CB458" s="178"/>
      <c r="CC458" s="186"/>
      <c r="CD458" s="178"/>
      <c r="CE458" s="186"/>
      <c r="CF458" s="178"/>
      <c r="CG458" s="186"/>
      <c r="CH458" s="178"/>
      <c r="CI458" s="186"/>
      <c r="CJ458" s="178"/>
      <c r="CK458" s="186"/>
      <c r="CL458" s="178"/>
      <c r="CM458" s="186"/>
      <c r="CN458" s="178"/>
      <c r="CO458" s="186"/>
      <c r="CP458" s="178"/>
      <c r="CQ458" s="186"/>
      <c r="CR458" s="178"/>
      <c r="CS458" s="186"/>
      <c r="CT458" s="178"/>
      <c r="CU458" s="186"/>
      <c r="CV458" s="178"/>
      <c r="CW458" s="186"/>
      <c r="CX458" s="178"/>
      <c r="CY458" s="186"/>
      <c r="CZ458" s="178"/>
      <c r="DA458" s="186"/>
      <c r="DB458" s="178"/>
      <c r="DC458" s="186"/>
      <c r="DD458" s="178"/>
      <c r="DE458" s="186"/>
      <c r="DF458" s="178"/>
      <c r="DG458" s="186"/>
      <c r="DH458" s="178"/>
      <c r="DI458" s="186"/>
      <c r="DJ458" s="178"/>
      <c r="DK458" s="186"/>
      <c r="DL458" s="178"/>
      <c r="DM458" s="186"/>
      <c r="DN458" s="178"/>
      <c r="DO458" s="186"/>
      <c r="DP458" s="178"/>
      <c r="DQ458" s="186"/>
      <c r="DR458" s="178"/>
      <c r="DS458" s="186"/>
      <c r="DT458" s="178"/>
      <c r="DU458" s="186"/>
      <c r="DV458" s="178"/>
      <c r="DW458" s="186"/>
      <c r="DX458" s="178"/>
      <c r="DY458" s="186"/>
      <c r="DZ458" s="178"/>
      <c r="EA458" s="186"/>
      <c r="EB458" s="178"/>
      <c r="EC458" s="186"/>
      <c r="ED458" s="178"/>
      <c r="EE458" s="186"/>
      <c r="EF458" s="178"/>
      <c r="EG458" s="186"/>
      <c r="EH458" s="178"/>
      <c r="EI458" s="186"/>
      <c r="EJ458" s="178"/>
      <c r="EK458" s="186"/>
      <c r="EL458" s="178"/>
      <c r="EM458" s="186"/>
      <c r="EN458" s="178"/>
      <c r="EO458" s="186"/>
      <c r="EP458" s="178"/>
      <c r="EQ458" s="186"/>
      <c r="ER458" s="178"/>
      <c r="ES458" s="186"/>
      <c r="ET458" s="178"/>
      <c r="EU458" s="186"/>
      <c r="EV458" s="178"/>
      <c r="EW458" s="186"/>
      <c r="EX458" s="178"/>
      <c r="EY458" s="186"/>
      <c r="EZ458" s="178"/>
      <c r="FA458" s="186"/>
      <c r="FB458" s="178"/>
      <c r="FC458" s="186"/>
      <c r="FD458" s="178"/>
      <c r="FE458" s="186"/>
      <c r="FF458" s="178"/>
      <c r="FG458" s="186"/>
      <c r="FH458" s="178"/>
      <c r="FI458" s="186"/>
      <c r="FJ458" s="178"/>
      <c r="FK458" s="186"/>
      <c r="FL458" s="178"/>
      <c r="FM458" s="186"/>
      <c r="FN458" s="178"/>
      <c r="FO458" s="186"/>
      <c r="FP458" s="178"/>
      <c r="FQ458" s="186"/>
      <c r="FR458" s="178"/>
      <c r="FS458" s="186"/>
      <c r="FT458" s="178"/>
      <c r="FU458" s="186"/>
      <c r="FV458" s="178"/>
      <c r="FW458" s="186"/>
      <c r="FX458" s="178"/>
      <c r="FY458" s="186"/>
      <c r="FZ458" s="178"/>
      <c r="GA458" s="186"/>
      <c r="GB458" s="178"/>
      <c r="GC458" s="186"/>
      <c r="GD458" s="178"/>
      <c r="GE458" s="186"/>
      <c r="GF458" s="178"/>
      <c r="GG458" s="186"/>
      <c r="GH458" s="178"/>
      <c r="GI458" s="186"/>
      <c r="GJ458" s="178"/>
      <c r="GK458" s="186"/>
      <c r="GL458" s="178"/>
      <c r="GM458" s="186"/>
      <c r="GN458" s="178"/>
      <c r="GO458" s="186"/>
      <c r="GP458" s="178"/>
      <c r="GQ458" s="186"/>
      <c r="GR458" s="178"/>
      <c r="GS458" s="186"/>
      <c r="GT458" s="178"/>
      <c r="GU458" s="186"/>
      <c r="GV458" s="178"/>
      <c r="GW458" s="186"/>
      <c r="GX458" s="178"/>
      <c r="GY458" s="186"/>
      <c r="GZ458" s="178"/>
      <c r="HA458" s="186"/>
      <c r="HB458" s="178"/>
      <c r="HC458" s="186"/>
      <c r="HD458" s="178"/>
      <c r="HE458" s="186"/>
      <c r="HF458" s="178"/>
      <c r="HG458" s="186"/>
      <c r="HH458" s="178"/>
      <c r="HI458" s="186"/>
      <c r="HJ458" s="178"/>
      <c r="HK458" s="186"/>
      <c r="HL458" s="178"/>
      <c r="HM458" s="186"/>
      <c r="HN458" s="178"/>
      <c r="HO458" s="186"/>
      <c r="HP458" s="178"/>
      <c r="HQ458" s="186"/>
      <c r="HR458" s="178"/>
      <c r="HS458" s="186"/>
      <c r="HT458" s="178"/>
      <c r="HU458" s="186"/>
      <c r="HV458" s="178"/>
      <c r="HW458" s="186"/>
      <c r="HX458" s="178"/>
      <c r="HY458" s="186"/>
      <c r="HZ458" s="178"/>
      <c r="IA458" s="186"/>
      <c r="IB458" s="178"/>
      <c r="IC458" s="186"/>
      <c r="ID458" s="178"/>
      <c r="IE458" s="186"/>
      <c r="IF458" s="178"/>
      <c r="IG458" s="186"/>
      <c r="IH458" s="178"/>
      <c r="II458" s="186"/>
      <c r="IJ458" s="178"/>
      <c r="IK458" s="186"/>
      <c r="IL458" s="178"/>
      <c r="IM458" s="186"/>
      <c r="IN458" s="178"/>
      <c r="IO458" s="186"/>
      <c r="IP458" s="178"/>
      <c r="IQ458" s="186"/>
      <c r="IR458" s="178"/>
      <c r="IS458" s="186"/>
      <c r="IT458" s="178"/>
      <c r="IU458" s="186"/>
      <c r="IV458" s="178"/>
    </row>
    <row r="459" spans="1:256" ht="15.75">
      <c r="A459" s="206" t="s">
        <v>918</v>
      </c>
      <c r="B459" s="207" t="str">
        <f>IF('06_GPRS_GSM'!G14="","None Entered",IF('06_GPRS_GSM'!G14="none","None Entered",IF('06_GPRS_GSM'!G14="No default value","None Entered",IF('06_GPRS_GSM'!G14="No default values","None Entered",'06_GPRS_GSM'!G14))))</f>
        <v>None Entered</v>
      </c>
      <c r="C459" s="198" t="s">
        <v>745</v>
      </c>
      <c r="D459" s="199" t="s">
        <v>1187</v>
      </c>
      <c r="E459" s="131" t="s">
        <v>596</v>
      </c>
      <c r="F459" s="113" t="str">
        <f t="shared" si="4"/>
        <v>BytesPerData=1|ByteSwap=TRUE|StartByte=430|IfDataIsNullDisplay=None Entered</v>
      </c>
      <c r="G459" s="141"/>
      <c r="H459" s="221">
        <f t="shared" si="5"/>
        <v>430</v>
      </c>
      <c r="I459" s="186"/>
      <c r="J459" s="178"/>
      <c r="K459" s="186"/>
      <c r="L459" s="178"/>
      <c r="M459" s="186"/>
      <c r="N459" s="178"/>
      <c r="O459" s="186"/>
      <c r="P459" s="178"/>
      <c r="Q459" s="186"/>
      <c r="R459" s="178"/>
      <c r="S459" s="186"/>
      <c r="T459" s="178"/>
      <c r="U459" s="186"/>
      <c r="V459" s="178"/>
      <c r="W459" s="186"/>
      <c r="X459" s="178"/>
      <c r="Y459" s="186"/>
      <c r="Z459" s="178"/>
      <c r="AA459" s="186"/>
      <c r="AB459" s="178"/>
      <c r="AC459" s="186"/>
      <c r="AD459" s="178"/>
      <c r="AE459" s="186"/>
      <c r="AF459" s="178"/>
      <c r="AG459" s="186"/>
      <c r="AH459" s="178"/>
      <c r="AI459" s="186"/>
      <c r="AJ459" s="178"/>
      <c r="AK459" s="186"/>
      <c r="AL459" s="178"/>
      <c r="AM459" s="186"/>
      <c r="AN459" s="178"/>
      <c r="AO459" s="186"/>
      <c r="AP459" s="178"/>
      <c r="AQ459" s="186"/>
      <c r="AR459" s="178"/>
      <c r="AS459" s="186"/>
      <c r="AT459" s="178"/>
      <c r="AU459" s="186"/>
      <c r="AV459" s="178"/>
      <c r="AW459" s="186"/>
      <c r="AX459" s="178"/>
      <c r="AY459" s="186"/>
      <c r="AZ459" s="178"/>
      <c r="BA459" s="186"/>
      <c r="BB459" s="178"/>
      <c r="BC459" s="186"/>
      <c r="BD459" s="178"/>
      <c r="BE459" s="186"/>
      <c r="BF459" s="178"/>
      <c r="BG459" s="186"/>
      <c r="BH459" s="178"/>
      <c r="BI459" s="186"/>
      <c r="BJ459" s="178"/>
      <c r="BK459" s="186"/>
      <c r="BL459" s="178"/>
      <c r="BM459" s="186"/>
      <c r="BN459" s="178"/>
      <c r="BO459" s="186"/>
      <c r="BP459" s="178"/>
      <c r="BQ459" s="186"/>
      <c r="BR459" s="178"/>
      <c r="BS459" s="186"/>
      <c r="BT459" s="178"/>
      <c r="BU459" s="186"/>
      <c r="BV459" s="178"/>
      <c r="BW459" s="186"/>
      <c r="BX459" s="178"/>
      <c r="BY459" s="186"/>
      <c r="BZ459" s="178"/>
      <c r="CA459" s="186"/>
      <c r="CB459" s="178"/>
      <c r="CC459" s="186"/>
      <c r="CD459" s="178"/>
      <c r="CE459" s="186"/>
      <c r="CF459" s="178"/>
      <c r="CG459" s="186"/>
      <c r="CH459" s="178"/>
      <c r="CI459" s="186"/>
      <c r="CJ459" s="178"/>
      <c r="CK459" s="186"/>
      <c r="CL459" s="178"/>
      <c r="CM459" s="186"/>
      <c r="CN459" s="178"/>
      <c r="CO459" s="186"/>
      <c r="CP459" s="178"/>
      <c r="CQ459" s="186"/>
      <c r="CR459" s="178"/>
      <c r="CS459" s="186"/>
      <c r="CT459" s="178"/>
      <c r="CU459" s="186"/>
      <c r="CV459" s="178"/>
      <c r="CW459" s="186"/>
      <c r="CX459" s="178"/>
      <c r="CY459" s="186"/>
      <c r="CZ459" s="178"/>
      <c r="DA459" s="186"/>
      <c r="DB459" s="178"/>
      <c r="DC459" s="186"/>
      <c r="DD459" s="178"/>
      <c r="DE459" s="186"/>
      <c r="DF459" s="178"/>
      <c r="DG459" s="186"/>
      <c r="DH459" s="178"/>
      <c r="DI459" s="186"/>
      <c r="DJ459" s="178"/>
      <c r="DK459" s="186"/>
      <c r="DL459" s="178"/>
      <c r="DM459" s="186"/>
      <c r="DN459" s="178"/>
      <c r="DO459" s="186"/>
      <c r="DP459" s="178"/>
      <c r="DQ459" s="186"/>
      <c r="DR459" s="178"/>
      <c r="DS459" s="186"/>
      <c r="DT459" s="178"/>
      <c r="DU459" s="186"/>
      <c r="DV459" s="178"/>
      <c r="DW459" s="186"/>
      <c r="DX459" s="178"/>
      <c r="DY459" s="186"/>
      <c r="DZ459" s="178"/>
      <c r="EA459" s="186"/>
      <c r="EB459" s="178"/>
      <c r="EC459" s="186"/>
      <c r="ED459" s="178"/>
      <c r="EE459" s="186"/>
      <c r="EF459" s="178"/>
      <c r="EG459" s="186"/>
      <c r="EH459" s="178"/>
      <c r="EI459" s="186"/>
      <c r="EJ459" s="178"/>
      <c r="EK459" s="186"/>
      <c r="EL459" s="178"/>
      <c r="EM459" s="186"/>
      <c r="EN459" s="178"/>
      <c r="EO459" s="186"/>
      <c r="EP459" s="178"/>
      <c r="EQ459" s="186"/>
      <c r="ER459" s="178"/>
      <c r="ES459" s="186"/>
      <c r="ET459" s="178"/>
      <c r="EU459" s="186"/>
      <c r="EV459" s="178"/>
      <c r="EW459" s="186"/>
      <c r="EX459" s="178"/>
      <c r="EY459" s="186"/>
      <c r="EZ459" s="178"/>
      <c r="FA459" s="186"/>
      <c r="FB459" s="178"/>
      <c r="FC459" s="186"/>
      <c r="FD459" s="178"/>
      <c r="FE459" s="186"/>
      <c r="FF459" s="178"/>
      <c r="FG459" s="186"/>
      <c r="FH459" s="178"/>
      <c r="FI459" s="186"/>
      <c r="FJ459" s="178"/>
      <c r="FK459" s="186"/>
      <c r="FL459" s="178"/>
      <c r="FM459" s="186"/>
      <c r="FN459" s="178"/>
      <c r="FO459" s="186"/>
      <c r="FP459" s="178"/>
      <c r="FQ459" s="186"/>
      <c r="FR459" s="178"/>
      <c r="FS459" s="186"/>
      <c r="FT459" s="178"/>
      <c r="FU459" s="186"/>
      <c r="FV459" s="178"/>
      <c r="FW459" s="186"/>
      <c r="FX459" s="178"/>
      <c r="FY459" s="186"/>
      <c r="FZ459" s="178"/>
      <c r="GA459" s="186"/>
      <c r="GB459" s="178"/>
      <c r="GC459" s="186"/>
      <c r="GD459" s="178"/>
      <c r="GE459" s="186"/>
      <c r="GF459" s="178"/>
      <c r="GG459" s="186"/>
      <c r="GH459" s="178"/>
      <c r="GI459" s="186"/>
      <c r="GJ459" s="178"/>
      <c r="GK459" s="186"/>
      <c r="GL459" s="178"/>
      <c r="GM459" s="186"/>
      <c r="GN459" s="178"/>
      <c r="GO459" s="186"/>
      <c r="GP459" s="178"/>
      <c r="GQ459" s="186"/>
      <c r="GR459" s="178"/>
      <c r="GS459" s="186"/>
      <c r="GT459" s="178"/>
      <c r="GU459" s="186"/>
      <c r="GV459" s="178"/>
      <c r="GW459" s="186"/>
      <c r="GX459" s="178"/>
      <c r="GY459" s="186"/>
      <c r="GZ459" s="178"/>
      <c r="HA459" s="186"/>
      <c r="HB459" s="178"/>
      <c r="HC459" s="186"/>
      <c r="HD459" s="178"/>
      <c r="HE459" s="186"/>
      <c r="HF459" s="178"/>
      <c r="HG459" s="186"/>
      <c r="HH459" s="178"/>
      <c r="HI459" s="186"/>
      <c r="HJ459" s="178"/>
      <c r="HK459" s="186"/>
      <c r="HL459" s="178"/>
      <c r="HM459" s="186"/>
      <c r="HN459" s="178"/>
      <c r="HO459" s="186"/>
      <c r="HP459" s="178"/>
      <c r="HQ459" s="186"/>
      <c r="HR459" s="178"/>
      <c r="HS459" s="186"/>
      <c r="HT459" s="178"/>
      <c r="HU459" s="186"/>
      <c r="HV459" s="178"/>
      <c r="HW459" s="186"/>
      <c r="HX459" s="178"/>
      <c r="HY459" s="186"/>
      <c r="HZ459" s="178"/>
      <c r="IA459" s="186"/>
      <c r="IB459" s="178"/>
      <c r="IC459" s="186"/>
      <c r="ID459" s="178"/>
      <c r="IE459" s="186"/>
      <c r="IF459" s="178"/>
      <c r="IG459" s="186"/>
      <c r="IH459" s="178"/>
      <c r="II459" s="186"/>
      <c r="IJ459" s="178"/>
      <c r="IK459" s="186"/>
      <c r="IL459" s="178"/>
      <c r="IM459" s="186"/>
      <c r="IN459" s="178"/>
      <c r="IO459" s="186"/>
      <c r="IP459" s="178"/>
      <c r="IQ459" s="186"/>
      <c r="IR459" s="178"/>
      <c r="IS459" s="186"/>
      <c r="IT459" s="178"/>
      <c r="IU459" s="186"/>
      <c r="IV459" s="178"/>
    </row>
    <row r="460" spans="1:256" ht="15.75">
      <c r="A460" s="206" t="s">
        <v>919</v>
      </c>
      <c r="B460" s="207" t="str">
        <f>IF('06_GPRS_GSM'!G15="","None Entered",IF('06_GPRS_GSM'!G15="none","None Entered",IF('06_GPRS_GSM'!G15="No default value","None Entered",IF('06_GPRS_GSM'!G15="No default values","None Entered",'06_GPRS_GSM'!G15))))</f>
        <v>None Entered</v>
      </c>
      <c r="C460" s="198" t="s">
        <v>745</v>
      </c>
      <c r="D460" s="199" t="s">
        <v>1187</v>
      </c>
      <c r="E460" s="131" t="s">
        <v>596</v>
      </c>
      <c r="F460" s="113" t="str">
        <f t="shared" si="3"/>
        <v>BytesPerData=2|ByteSwap=TRUE|StartByte=779|IfDataIsNullDisplay=None Entered</v>
      </c>
      <c r="G460" s="141"/>
      <c r="H460" s="221">
        <f t="shared" si="5"/>
        <v>779</v>
      </c>
      <c r="I460" s="186"/>
      <c r="J460" s="178"/>
      <c r="K460" s="186"/>
      <c r="L460" s="178"/>
      <c r="M460" s="186"/>
      <c r="N460" s="178"/>
      <c r="O460" s="186"/>
      <c r="P460" s="178"/>
      <c r="Q460" s="186"/>
      <c r="R460" s="178"/>
      <c r="S460" s="186"/>
      <c r="T460" s="178"/>
      <c r="U460" s="186"/>
      <c r="V460" s="178"/>
      <c r="W460" s="186"/>
      <c r="X460" s="178"/>
      <c r="Y460" s="186"/>
      <c r="Z460" s="178"/>
      <c r="AA460" s="186"/>
      <c r="AB460" s="178"/>
      <c r="AC460" s="186"/>
      <c r="AD460" s="178"/>
      <c r="AE460" s="186"/>
      <c r="AF460" s="178"/>
      <c r="AG460" s="186"/>
      <c r="AH460" s="178"/>
      <c r="AI460" s="186"/>
      <c r="AJ460" s="178"/>
      <c r="AK460" s="186"/>
      <c r="AL460" s="178"/>
      <c r="AM460" s="186"/>
      <c r="AN460" s="178"/>
      <c r="AO460" s="186"/>
      <c r="AP460" s="178"/>
      <c r="AQ460" s="186"/>
      <c r="AR460" s="178"/>
      <c r="AS460" s="186"/>
      <c r="AT460" s="178"/>
      <c r="AU460" s="186"/>
      <c r="AV460" s="178"/>
      <c r="AW460" s="186"/>
      <c r="AX460" s="178"/>
      <c r="AY460" s="186"/>
      <c r="AZ460" s="178"/>
      <c r="BA460" s="186"/>
      <c r="BB460" s="178"/>
      <c r="BC460" s="186"/>
      <c r="BD460" s="178"/>
      <c r="BE460" s="186"/>
      <c r="BF460" s="178"/>
      <c r="BG460" s="186"/>
      <c r="BH460" s="178"/>
      <c r="BI460" s="186"/>
      <c r="BJ460" s="178"/>
      <c r="BK460" s="186"/>
      <c r="BL460" s="178"/>
      <c r="BM460" s="186"/>
      <c r="BN460" s="178"/>
      <c r="BO460" s="186"/>
      <c r="BP460" s="178"/>
      <c r="BQ460" s="186"/>
      <c r="BR460" s="178"/>
      <c r="BS460" s="186"/>
      <c r="BT460" s="178"/>
      <c r="BU460" s="186"/>
      <c r="BV460" s="178"/>
      <c r="BW460" s="186"/>
      <c r="BX460" s="178"/>
      <c r="BY460" s="186"/>
      <c r="BZ460" s="178"/>
      <c r="CA460" s="186"/>
      <c r="CB460" s="178"/>
      <c r="CC460" s="186"/>
      <c r="CD460" s="178"/>
      <c r="CE460" s="186"/>
      <c r="CF460" s="178"/>
      <c r="CG460" s="186"/>
      <c r="CH460" s="178"/>
      <c r="CI460" s="186"/>
      <c r="CJ460" s="178"/>
      <c r="CK460" s="186"/>
      <c r="CL460" s="178"/>
      <c r="CM460" s="186"/>
      <c r="CN460" s="178"/>
      <c r="CO460" s="186"/>
      <c r="CP460" s="178"/>
      <c r="CQ460" s="186"/>
      <c r="CR460" s="178"/>
      <c r="CS460" s="186"/>
      <c r="CT460" s="178"/>
      <c r="CU460" s="186"/>
      <c r="CV460" s="178"/>
      <c r="CW460" s="186"/>
      <c r="CX460" s="178"/>
      <c r="CY460" s="186"/>
      <c r="CZ460" s="178"/>
      <c r="DA460" s="186"/>
      <c r="DB460" s="178"/>
      <c r="DC460" s="186"/>
      <c r="DD460" s="178"/>
      <c r="DE460" s="186"/>
      <c r="DF460" s="178"/>
      <c r="DG460" s="186"/>
      <c r="DH460" s="178"/>
      <c r="DI460" s="186"/>
      <c r="DJ460" s="178"/>
      <c r="DK460" s="186"/>
      <c r="DL460" s="178"/>
      <c r="DM460" s="186"/>
      <c r="DN460" s="178"/>
      <c r="DO460" s="186"/>
      <c r="DP460" s="178"/>
      <c r="DQ460" s="186"/>
      <c r="DR460" s="178"/>
      <c r="DS460" s="186"/>
      <c r="DT460" s="178"/>
      <c r="DU460" s="186"/>
      <c r="DV460" s="178"/>
      <c r="DW460" s="186"/>
      <c r="DX460" s="178"/>
      <c r="DY460" s="186"/>
      <c r="DZ460" s="178"/>
      <c r="EA460" s="186"/>
      <c r="EB460" s="178"/>
      <c r="EC460" s="186"/>
      <c r="ED460" s="178"/>
      <c r="EE460" s="186"/>
      <c r="EF460" s="178"/>
      <c r="EG460" s="186"/>
      <c r="EH460" s="178"/>
      <c r="EI460" s="186"/>
      <c r="EJ460" s="178"/>
      <c r="EK460" s="186"/>
      <c r="EL460" s="178"/>
      <c r="EM460" s="186"/>
      <c r="EN460" s="178"/>
      <c r="EO460" s="186"/>
      <c r="EP460" s="178"/>
      <c r="EQ460" s="186"/>
      <c r="ER460" s="178"/>
      <c r="ES460" s="186"/>
      <c r="ET460" s="178"/>
      <c r="EU460" s="186"/>
      <c r="EV460" s="178"/>
      <c r="EW460" s="186"/>
      <c r="EX460" s="178"/>
      <c r="EY460" s="186"/>
      <c r="EZ460" s="178"/>
      <c r="FA460" s="186"/>
      <c r="FB460" s="178"/>
      <c r="FC460" s="186"/>
      <c r="FD460" s="178"/>
      <c r="FE460" s="186"/>
      <c r="FF460" s="178"/>
      <c r="FG460" s="186"/>
      <c r="FH460" s="178"/>
      <c r="FI460" s="186"/>
      <c r="FJ460" s="178"/>
      <c r="FK460" s="186"/>
      <c r="FL460" s="178"/>
      <c r="FM460" s="186"/>
      <c r="FN460" s="178"/>
      <c r="FO460" s="186"/>
      <c r="FP460" s="178"/>
      <c r="FQ460" s="186"/>
      <c r="FR460" s="178"/>
      <c r="FS460" s="186"/>
      <c r="FT460" s="178"/>
      <c r="FU460" s="186"/>
      <c r="FV460" s="178"/>
      <c r="FW460" s="186"/>
      <c r="FX460" s="178"/>
      <c r="FY460" s="186"/>
      <c r="FZ460" s="178"/>
      <c r="GA460" s="186"/>
      <c r="GB460" s="178"/>
      <c r="GC460" s="186"/>
      <c r="GD460" s="178"/>
      <c r="GE460" s="186"/>
      <c r="GF460" s="178"/>
      <c r="GG460" s="186"/>
      <c r="GH460" s="178"/>
      <c r="GI460" s="186"/>
      <c r="GJ460" s="178"/>
      <c r="GK460" s="186"/>
      <c r="GL460" s="178"/>
      <c r="GM460" s="186"/>
      <c r="GN460" s="178"/>
      <c r="GO460" s="186"/>
      <c r="GP460" s="178"/>
      <c r="GQ460" s="186"/>
      <c r="GR460" s="178"/>
      <c r="GS460" s="186"/>
      <c r="GT460" s="178"/>
      <c r="GU460" s="186"/>
      <c r="GV460" s="178"/>
      <c r="GW460" s="186"/>
      <c r="GX460" s="178"/>
      <c r="GY460" s="186"/>
      <c r="GZ460" s="178"/>
      <c r="HA460" s="186"/>
      <c r="HB460" s="178"/>
      <c r="HC460" s="186"/>
      <c r="HD460" s="178"/>
      <c r="HE460" s="186"/>
      <c r="HF460" s="178"/>
      <c r="HG460" s="186"/>
      <c r="HH460" s="178"/>
      <c r="HI460" s="186"/>
      <c r="HJ460" s="178"/>
      <c r="HK460" s="186"/>
      <c r="HL460" s="178"/>
      <c r="HM460" s="186"/>
      <c r="HN460" s="178"/>
      <c r="HO460" s="186"/>
      <c r="HP460" s="178"/>
      <c r="HQ460" s="186"/>
      <c r="HR460" s="178"/>
      <c r="HS460" s="186"/>
      <c r="HT460" s="178"/>
      <c r="HU460" s="186"/>
      <c r="HV460" s="178"/>
      <c r="HW460" s="186"/>
      <c r="HX460" s="178"/>
      <c r="HY460" s="186"/>
      <c r="HZ460" s="178"/>
      <c r="IA460" s="186"/>
      <c r="IB460" s="178"/>
      <c r="IC460" s="186"/>
      <c r="ID460" s="178"/>
      <c r="IE460" s="186"/>
      <c r="IF460" s="178"/>
      <c r="IG460" s="186"/>
      <c r="IH460" s="178"/>
      <c r="II460" s="186"/>
      <c r="IJ460" s="178"/>
      <c r="IK460" s="186"/>
      <c r="IL460" s="178"/>
      <c r="IM460" s="186"/>
      <c r="IN460" s="178"/>
      <c r="IO460" s="186"/>
      <c r="IP460" s="178"/>
      <c r="IQ460" s="186"/>
      <c r="IR460" s="178"/>
      <c r="IS460" s="186"/>
      <c r="IT460" s="178"/>
      <c r="IU460" s="186"/>
      <c r="IV460" s="178"/>
    </row>
    <row r="461" spans="1:256" ht="15.75">
      <c r="A461" s="206" t="s">
        <v>920</v>
      </c>
      <c r="B461" s="207" t="str">
        <f>IF('06_GPRS_GSM'!G16="","None Entered",IF('06_GPRS_GSM'!G16="none","None Entered",IF('06_GPRS_GSM'!G16="No default value","None Entered",IF('06_GPRS_GSM'!G16="No default values","None Entered",'06_GPRS_GSM'!G16))))</f>
        <v>None Entered</v>
      </c>
      <c r="C461" s="198" t="s">
        <v>745</v>
      </c>
      <c r="D461" s="199" t="s">
        <v>1187</v>
      </c>
      <c r="E461" s="131" t="s">
        <v>596</v>
      </c>
      <c r="F461" s="113" t="str">
        <f t="shared" si="4"/>
        <v>BytesPerData=1|ByteSwap=TRUE|StartByte=642|IfDataIsNullDisplay=None Entered</v>
      </c>
      <c r="G461" s="141"/>
      <c r="H461" s="221">
        <f t="shared" si="5"/>
        <v>642</v>
      </c>
      <c r="I461" s="186"/>
      <c r="J461" s="178"/>
      <c r="K461" s="186"/>
      <c r="L461" s="178"/>
      <c r="M461" s="186"/>
      <c r="N461" s="178"/>
      <c r="O461" s="186"/>
      <c r="P461" s="178"/>
      <c r="Q461" s="186"/>
      <c r="R461" s="178"/>
      <c r="S461" s="186"/>
      <c r="T461" s="178"/>
      <c r="U461" s="186"/>
      <c r="V461" s="178"/>
      <c r="W461" s="186"/>
      <c r="X461" s="178"/>
      <c r="Y461" s="186"/>
      <c r="Z461" s="178"/>
      <c r="AA461" s="186"/>
      <c r="AB461" s="178"/>
      <c r="AC461" s="186"/>
      <c r="AD461" s="178"/>
      <c r="AE461" s="186"/>
      <c r="AF461" s="178"/>
      <c r="AG461" s="186"/>
      <c r="AH461" s="178"/>
      <c r="AI461" s="186"/>
      <c r="AJ461" s="178"/>
      <c r="AK461" s="186"/>
      <c r="AL461" s="178"/>
      <c r="AM461" s="186"/>
      <c r="AN461" s="178"/>
      <c r="AO461" s="186"/>
      <c r="AP461" s="178"/>
      <c r="AQ461" s="186"/>
      <c r="AR461" s="178"/>
      <c r="AS461" s="186"/>
      <c r="AT461" s="178"/>
      <c r="AU461" s="186"/>
      <c r="AV461" s="178"/>
      <c r="AW461" s="186"/>
      <c r="AX461" s="178"/>
      <c r="AY461" s="186"/>
      <c r="AZ461" s="178"/>
      <c r="BA461" s="186"/>
      <c r="BB461" s="178"/>
      <c r="BC461" s="186"/>
      <c r="BD461" s="178"/>
      <c r="BE461" s="186"/>
      <c r="BF461" s="178"/>
      <c r="BG461" s="186"/>
      <c r="BH461" s="178"/>
      <c r="BI461" s="186"/>
      <c r="BJ461" s="178"/>
      <c r="BK461" s="186"/>
      <c r="BL461" s="178"/>
      <c r="BM461" s="186"/>
      <c r="BN461" s="178"/>
      <c r="BO461" s="186"/>
      <c r="BP461" s="178"/>
      <c r="BQ461" s="186"/>
      <c r="BR461" s="178"/>
      <c r="BS461" s="186"/>
      <c r="BT461" s="178"/>
      <c r="BU461" s="186"/>
      <c r="BV461" s="178"/>
      <c r="BW461" s="186"/>
      <c r="BX461" s="178"/>
      <c r="BY461" s="186"/>
      <c r="BZ461" s="178"/>
      <c r="CA461" s="186"/>
      <c r="CB461" s="178"/>
      <c r="CC461" s="186"/>
      <c r="CD461" s="178"/>
      <c r="CE461" s="186"/>
      <c r="CF461" s="178"/>
      <c r="CG461" s="186"/>
      <c r="CH461" s="178"/>
      <c r="CI461" s="186"/>
      <c r="CJ461" s="178"/>
      <c r="CK461" s="186"/>
      <c r="CL461" s="178"/>
      <c r="CM461" s="186"/>
      <c r="CN461" s="178"/>
      <c r="CO461" s="186"/>
      <c r="CP461" s="178"/>
      <c r="CQ461" s="186"/>
      <c r="CR461" s="178"/>
      <c r="CS461" s="186"/>
      <c r="CT461" s="178"/>
      <c r="CU461" s="186"/>
      <c r="CV461" s="178"/>
      <c r="CW461" s="186"/>
      <c r="CX461" s="178"/>
      <c r="CY461" s="186"/>
      <c r="CZ461" s="178"/>
      <c r="DA461" s="186"/>
      <c r="DB461" s="178"/>
      <c r="DC461" s="186"/>
      <c r="DD461" s="178"/>
      <c r="DE461" s="186"/>
      <c r="DF461" s="178"/>
      <c r="DG461" s="186"/>
      <c r="DH461" s="178"/>
      <c r="DI461" s="186"/>
      <c r="DJ461" s="178"/>
      <c r="DK461" s="186"/>
      <c r="DL461" s="178"/>
      <c r="DM461" s="186"/>
      <c r="DN461" s="178"/>
      <c r="DO461" s="186"/>
      <c r="DP461" s="178"/>
      <c r="DQ461" s="186"/>
      <c r="DR461" s="178"/>
      <c r="DS461" s="186"/>
      <c r="DT461" s="178"/>
      <c r="DU461" s="186"/>
      <c r="DV461" s="178"/>
      <c r="DW461" s="186"/>
      <c r="DX461" s="178"/>
      <c r="DY461" s="186"/>
      <c r="DZ461" s="178"/>
      <c r="EA461" s="186"/>
      <c r="EB461" s="178"/>
      <c r="EC461" s="186"/>
      <c r="ED461" s="178"/>
      <c r="EE461" s="186"/>
      <c r="EF461" s="178"/>
      <c r="EG461" s="186"/>
      <c r="EH461" s="178"/>
      <c r="EI461" s="186"/>
      <c r="EJ461" s="178"/>
      <c r="EK461" s="186"/>
      <c r="EL461" s="178"/>
      <c r="EM461" s="186"/>
      <c r="EN461" s="178"/>
      <c r="EO461" s="186"/>
      <c r="EP461" s="178"/>
      <c r="EQ461" s="186"/>
      <c r="ER461" s="178"/>
      <c r="ES461" s="186"/>
      <c r="ET461" s="178"/>
      <c r="EU461" s="186"/>
      <c r="EV461" s="178"/>
      <c r="EW461" s="186"/>
      <c r="EX461" s="178"/>
      <c r="EY461" s="186"/>
      <c r="EZ461" s="178"/>
      <c r="FA461" s="186"/>
      <c r="FB461" s="178"/>
      <c r="FC461" s="186"/>
      <c r="FD461" s="178"/>
      <c r="FE461" s="186"/>
      <c r="FF461" s="178"/>
      <c r="FG461" s="186"/>
      <c r="FH461" s="178"/>
      <c r="FI461" s="186"/>
      <c r="FJ461" s="178"/>
      <c r="FK461" s="186"/>
      <c r="FL461" s="178"/>
      <c r="FM461" s="186"/>
      <c r="FN461" s="178"/>
      <c r="FO461" s="186"/>
      <c r="FP461" s="178"/>
      <c r="FQ461" s="186"/>
      <c r="FR461" s="178"/>
      <c r="FS461" s="186"/>
      <c r="FT461" s="178"/>
      <c r="FU461" s="186"/>
      <c r="FV461" s="178"/>
      <c r="FW461" s="186"/>
      <c r="FX461" s="178"/>
      <c r="FY461" s="186"/>
      <c r="FZ461" s="178"/>
      <c r="GA461" s="186"/>
      <c r="GB461" s="178"/>
      <c r="GC461" s="186"/>
      <c r="GD461" s="178"/>
      <c r="GE461" s="186"/>
      <c r="GF461" s="178"/>
      <c r="GG461" s="186"/>
      <c r="GH461" s="178"/>
      <c r="GI461" s="186"/>
      <c r="GJ461" s="178"/>
      <c r="GK461" s="186"/>
      <c r="GL461" s="178"/>
      <c r="GM461" s="186"/>
      <c r="GN461" s="178"/>
      <c r="GO461" s="186"/>
      <c r="GP461" s="178"/>
      <c r="GQ461" s="186"/>
      <c r="GR461" s="178"/>
      <c r="GS461" s="186"/>
      <c r="GT461" s="178"/>
      <c r="GU461" s="186"/>
      <c r="GV461" s="178"/>
      <c r="GW461" s="186"/>
      <c r="GX461" s="178"/>
      <c r="GY461" s="186"/>
      <c r="GZ461" s="178"/>
      <c r="HA461" s="186"/>
      <c r="HB461" s="178"/>
      <c r="HC461" s="186"/>
      <c r="HD461" s="178"/>
      <c r="HE461" s="186"/>
      <c r="HF461" s="178"/>
      <c r="HG461" s="186"/>
      <c r="HH461" s="178"/>
      <c r="HI461" s="186"/>
      <c r="HJ461" s="178"/>
      <c r="HK461" s="186"/>
      <c r="HL461" s="178"/>
      <c r="HM461" s="186"/>
      <c r="HN461" s="178"/>
      <c r="HO461" s="186"/>
      <c r="HP461" s="178"/>
      <c r="HQ461" s="186"/>
      <c r="HR461" s="178"/>
      <c r="HS461" s="186"/>
      <c r="HT461" s="178"/>
      <c r="HU461" s="186"/>
      <c r="HV461" s="178"/>
      <c r="HW461" s="186"/>
      <c r="HX461" s="178"/>
      <c r="HY461" s="186"/>
      <c r="HZ461" s="178"/>
      <c r="IA461" s="186"/>
      <c r="IB461" s="178"/>
      <c r="IC461" s="186"/>
      <c r="ID461" s="178"/>
      <c r="IE461" s="186"/>
      <c r="IF461" s="178"/>
      <c r="IG461" s="186"/>
      <c r="IH461" s="178"/>
      <c r="II461" s="186"/>
      <c r="IJ461" s="178"/>
      <c r="IK461" s="186"/>
      <c r="IL461" s="178"/>
      <c r="IM461" s="186"/>
      <c r="IN461" s="178"/>
      <c r="IO461" s="186"/>
      <c r="IP461" s="178"/>
      <c r="IQ461" s="186"/>
      <c r="IR461" s="178"/>
      <c r="IS461" s="186"/>
      <c r="IT461" s="178"/>
      <c r="IU461" s="186"/>
      <c r="IV461" s="178"/>
    </row>
    <row r="462" spans="1:256" ht="15.75">
      <c r="A462" s="206" t="s">
        <v>201</v>
      </c>
      <c r="B462" s="207" t="str">
        <f>IF('06_GPRS_GSM'!G17="","None Entered",IF('06_GPRS_GSM'!G17="none","None Entered",IF('06_GPRS_GSM'!G17="No default value","None Entered",IF('06_GPRS_GSM'!G17="No default values","None Entered",'06_GPRS_GSM'!G17))))</f>
        <v>None Entered</v>
      </c>
      <c r="C462" s="198" t="s">
        <v>745</v>
      </c>
      <c r="D462" s="199" t="s">
        <v>1187</v>
      </c>
      <c r="E462" s="131" t="s">
        <v>596</v>
      </c>
      <c r="F462" s="113" t="str">
        <f t="shared" si="3"/>
        <v>BytesPerData=2|ByteSwap=TRUE|StartByte=991|IfDataIsNullDisplay=None Entered</v>
      </c>
      <c r="G462" s="141"/>
      <c r="H462" s="221">
        <f t="shared" si="5"/>
        <v>991</v>
      </c>
      <c r="I462" s="186"/>
      <c r="J462" s="178"/>
      <c r="K462" s="186"/>
      <c r="L462" s="178"/>
      <c r="M462" s="186"/>
      <c r="N462" s="178"/>
      <c r="O462" s="186"/>
      <c r="P462" s="178"/>
      <c r="Q462" s="186"/>
      <c r="R462" s="178"/>
      <c r="S462" s="186"/>
      <c r="T462" s="178"/>
      <c r="U462" s="186"/>
      <c r="V462" s="178"/>
      <c r="W462" s="186"/>
      <c r="X462" s="178"/>
      <c r="Y462" s="186"/>
      <c r="Z462" s="178"/>
      <c r="AA462" s="186"/>
      <c r="AB462" s="178"/>
      <c r="AC462" s="186"/>
      <c r="AD462" s="178"/>
      <c r="AE462" s="186"/>
      <c r="AF462" s="178"/>
      <c r="AG462" s="186"/>
      <c r="AH462" s="178"/>
      <c r="AI462" s="186"/>
      <c r="AJ462" s="178"/>
      <c r="AK462" s="186"/>
      <c r="AL462" s="178"/>
      <c r="AM462" s="186"/>
      <c r="AN462" s="178"/>
      <c r="AO462" s="186"/>
      <c r="AP462" s="178"/>
      <c r="AQ462" s="186"/>
      <c r="AR462" s="178"/>
      <c r="AS462" s="186"/>
      <c r="AT462" s="178"/>
      <c r="AU462" s="186"/>
      <c r="AV462" s="178"/>
      <c r="AW462" s="186"/>
      <c r="AX462" s="178"/>
      <c r="AY462" s="186"/>
      <c r="AZ462" s="178"/>
      <c r="BA462" s="186"/>
      <c r="BB462" s="178"/>
      <c r="BC462" s="186"/>
      <c r="BD462" s="178"/>
      <c r="BE462" s="186"/>
      <c r="BF462" s="178"/>
      <c r="BG462" s="186"/>
      <c r="BH462" s="178"/>
      <c r="BI462" s="186"/>
      <c r="BJ462" s="178"/>
      <c r="BK462" s="186"/>
      <c r="BL462" s="178"/>
      <c r="BM462" s="186"/>
      <c r="BN462" s="178"/>
      <c r="BO462" s="186"/>
      <c r="BP462" s="178"/>
      <c r="BQ462" s="186"/>
      <c r="BR462" s="178"/>
      <c r="BS462" s="186"/>
      <c r="BT462" s="178"/>
      <c r="BU462" s="186"/>
      <c r="BV462" s="178"/>
      <c r="BW462" s="186"/>
      <c r="BX462" s="178"/>
      <c r="BY462" s="186"/>
      <c r="BZ462" s="178"/>
      <c r="CA462" s="186"/>
      <c r="CB462" s="178"/>
      <c r="CC462" s="186"/>
      <c r="CD462" s="178"/>
      <c r="CE462" s="186"/>
      <c r="CF462" s="178"/>
      <c r="CG462" s="186"/>
      <c r="CH462" s="178"/>
      <c r="CI462" s="186"/>
      <c r="CJ462" s="178"/>
      <c r="CK462" s="186"/>
      <c r="CL462" s="178"/>
      <c r="CM462" s="186"/>
      <c r="CN462" s="178"/>
      <c r="CO462" s="186"/>
      <c r="CP462" s="178"/>
      <c r="CQ462" s="186"/>
      <c r="CR462" s="178"/>
      <c r="CS462" s="186"/>
      <c r="CT462" s="178"/>
      <c r="CU462" s="186"/>
      <c r="CV462" s="178"/>
      <c r="CW462" s="186"/>
      <c r="CX462" s="178"/>
      <c r="CY462" s="186"/>
      <c r="CZ462" s="178"/>
      <c r="DA462" s="186"/>
      <c r="DB462" s="178"/>
      <c r="DC462" s="186"/>
      <c r="DD462" s="178"/>
      <c r="DE462" s="186"/>
      <c r="DF462" s="178"/>
      <c r="DG462" s="186"/>
      <c r="DH462" s="178"/>
      <c r="DI462" s="186"/>
      <c r="DJ462" s="178"/>
      <c r="DK462" s="186"/>
      <c r="DL462" s="178"/>
      <c r="DM462" s="186"/>
      <c r="DN462" s="178"/>
      <c r="DO462" s="186"/>
      <c r="DP462" s="178"/>
      <c r="DQ462" s="186"/>
      <c r="DR462" s="178"/>
      <c r="DS462" s="186"/>
      <c r="DT462" s="178"/>
      <c r="DU462" s="186"/>
      <c r="DV462" s="178"/>
      <c r="DW462" s="186"/>
      <c r="DX462" s="178"/>
      <c r="DY462" s="186"/>
      <c r="DZ462" s="178"/>
      <c r="EA462" s="186"/>
      <c r="EB462" s="178"/>
      <c r="EC462" s="186"/>
      <c r="ED462" s="178"/>
      <c r="EE462" s="186"/>
      <c r="EF462" s="178"/>
      <c r="EG462" s="186"/>
      <c r="EH462" s="178"/>
      <c r="EI462" s="186"/>
      <c r="EJ462" s="178"/>
      <c r="EK462" s="186"/>
      <c r="EL462" s="178"/>
      <c r="EM462" s="186"/>
      <c r="EN462" s="178"/>
      <c r="EO462" s="186"/>
      <c r="EP462" s="178"/>
      <c r="EQ462" s="186"/>
      <c r="ER462" s="178"/>
      <c r="ES462" s="186"/>
      <c r="ET462" s="178"/>
      <c r="EU462" s="186"/>
      <c r="EV462" s="178"/>
      <c r="EW462" s="186"/>
      <c r="EX462" s="178"/>
      <c r="EY462" s="186"/>
      <c r="EZ462" s="178"/>
      <c r="FA462" s="186"/>
      <c r="FB462" s="178"/>
      <c r="FC462" s="186"/>
      <c r="FD462" s="178"/>
      <c r="FE462" s="186"/>
      <c r="FF462" s="178"/>
      <c r="FG462" s="186"/>
      <c r="FH462" s="178"/>
      <c r="FI462" s="186"/>
      <c r="FJ462" s="178"/>
      <c r="FK462" s="186"/>
      <c r="FL462" s="178"/>
      <c r="FM462" s="186"/>
      <c r="FN462" s="178"/>
      <c r="FO462" s="186"/>
      <c r="FP462" s="178"/>
      <c r="FQ462" s="186"/>
      <c r="FR462" s="178"/>
      <c r="FS462" s="186"/>
      <c r="FT462" s="178"/>
      <c r="FU462" s="186"/>
      <c r="FV462" s="178"/>
      <c r="FW462" s="186"/>
      <c r="FX462" s="178"/>
      <c r="FY462" s="186"/>
      <c r="FZ462" s="178"/>
      <c r="GA462" s="186"/>
      <c r="GB462" s="178"/>
      <c r="GC462" s="186"/>
      <c r="GD462" s="178"/>
      <c r="GE462" s="186"/>
      <c r="GF462" s="178"/>
      <c r="GG462" s="186"/>
      <c r="GH462" s="178"/>
      <c r="GI462" s="186"/>
      <c r="GJ462" s="178"/>
      <c r="GK462" s="186"/>
      <c r="GL462" s="178"/>
      <c r="GM462" s="186"/>
      <c r="GN462" s="178"/>
      <c r="GO462" s="186"/>
      <c r="GP462" s="178"/>
      <c r="GQ462" s="186"/>
      <c r="GR462" s="178"/>
      <c r="GS462" s="186"/>
      <c r="GT462" s="178"/>
      <c r="GU462" s="186"/>
      <c r="GV462" s="178"/>
      <c r="GW462" s="186"/>
      <c r="GX462" s="178"/>
      <c r="GY462" s="186"/>
      <c r="GZ462" s="178"/>
      <c r="HA462" s="186"/>
      <c r="HB462" s="178"/>
      <c r="HC462" s="186"/>
      <c r="HD462" s="178"/>
      <c r="HE462" s="186"/>
      <c r="HF462" s="178"/>
      <c r="HG462" s="186"/>
      <c r="HH462" s="178"/>
      <c r="HI462" s="186"/>
      <c r="HJ462" s="178"/>
      <c r="HK462" s="186"/>
      <c r="HL462" s="178"/>
      <c r="HM462" s="186"/>
      <c r="HN462" s="178"/>
      <c r="HO462" s="186"/>
      <c r="HP462" s="178"/>
      <c r="HQ462" s="186"/>
      <c r="HR462" s="178"/>
      <c r="HS462" s="186"/>
      <c r="HT462" s="178"/>
      <c r="HU462" s="186"/>
      <c r="HV462" s="178"/>
      <c r="HW462" s="186"/>
      <c r="HX462" s="178"/>
      <c r="HY462" s="186"/>
      <c r="HZ462" s="178"/>
      <c r="IA462" s="186"/>
      <c r="IB462" s="178"/>
      <c r="IC462" s="186"/>
      <c r="ID462" s="178"/>
      <c r="IE462" s="186"/>
      <c r="IF462" s="178"/>
      <c r="IG462" s="186"/>
      <c r="IH462" s="178"/>
      <c r="II462" s="186"/>
      <c r="IJ462" s="178"/>
      <c r="IK462" s="186"/>
      <c r="IL462" s="178"/>
      <c r="IM462" s="186"/>
      <c r="IN462" s="178"/>
      <c r="IO462" s="186"/>
      <c r="IP462" s="178"/>
      <c r="IQ462" s="186"/>
      <c r="IR462" s="178"/>
      <c r="IS462" s="186"/>
      <c r="IT462" s="178"/>
      <c r="IU462" s="186"/>
      <c r="IV462" s="178"/>
    </row>
    <row r="463" spans="1:256" ht="15.75">
      <c r="A463" s="206" t="s">
        <v>202</v>
      </c>
      <c r="B463" s="207" t="str">
        <f>IF('06_GPRS_GSM'!G18="","None Entered",IF('06_GPRS_GSM'!G18="none","None Entered",IF('06_GPRS_GSM'!G18="No default value","None Entered",IF('06_GPRS_GSM'!G18="No default values","None Entered",'06_GPRS_GSM'!G18))))</f>
        <v>None Entered</v>
      </c>
      <c r="C463" s="198" t="s">
        <v>745</v>
      </c>
      <c r="D463" s="199" t="s">
        <v>1187</v>
      </c>
      <c r="E463" s="131" t="s">
        <v>596</v>
      </c>
      <c r="F463" s="113" t="str">
        <f t="shared" si="4"/>
        <v>BytesPerData=1|ByteSwap=TRUE|StartByte=854|IfDataIsNullDisplay=None Entered</v>
      </c>
      <c r="G463" s="141"/>
      <c r="H463" s="221">
        <f t="shared" si="5"/>
        <v>854</v>
      </c>
      <c r="I463" s="186"/>
      <c r="J463" s="178"/>
      <c r="K463" s="186"/>
      <c r="L463" s="178"/>
      <c r="M463" s="186"/>
      <c r="N463" s="178"/>
      <c r="O463" s="186"/>
      <c r="P463" s="178"/>
      <c r="Q463" s="186"/>
      <c r="R463" s="178"/>
      <c r="S463" s="186"/>
      <c r="T463" s="178"/>
      <c r="U463" s="186"/>
      <c r="V463" s="178"/>
      <c r="W463" s="186"/>
      <c r="X463" s="178"/>
      <c r="Y463" s="186"/>
      <c r="Z463" s="178"/>
      <c r="AA463" s="186"/>
      <c r="AB463" s="178"/>
      <c r="AC463" s="186"/>
      <c r="AD463" s="178"/>
      <c r="AE463" s="186"/>
      <c r="AF463" s="178"/>
      <c r="AG463" s="186"/>
      <c r="AH463" s="178"/>
      <c r="AI463" s="186"/>
      <c r="AJ463" s="178"/>
      <c r="AK463" s="186"/>
      <c r="AL463" s="178"/>
      <c r="AM463" s="186"/>
      <c r="AN463" s="178"/>
      <c r="AO463" s="186"/>
      <c r="AP463" s="178"/>
      <c r="AQ463" s="186"/>
      <c r="AR463" s="178"/>
      <c r="AS463" s="186"/>
      <c r="AT463" s="178"/>
      <c r="AU463" s="186"/>
      <c r="AV463" s="178"/>
      <c r="AW463" s="186"/>
      <c r="AX463" s="178"/>
      <c r="AY463" s="186"/>
      <c r="AZ463" s="178"/>
      <c r="BA463" s="186"/>
      <c r="BB463" s="178"/>
      <c r="BC463" s="186"/>
      <c r="BD463" s="178"/>
      <c r="BE463" s="186"/>
      <c r="BF463" s="178"/>
      <c r="BG463" s="186"/>
      <c r="BH463" s="178"/>
      <c r="BI463" s="186"/>
      <c r="BJ463" s="178"/>
      <c r="BK463" s="186"/>
      <c r="BL463" s="178"/>
      <c r="BM463" s="186"/>
      <c r="BN463" s="178"/>
      <c r="BO463" s="186"/>
      <c r="BP463" s="178"/>
      <c r="BQ463" s="186"/>
      <c r="BR463" s="178"/>
      <c r="BS463" s="186"/>
      <c r="BT463" s="178"/>
      <c r="BU463" s="186"/>
      <c r="BV463" s="178"/>
      <c r="BW463" s="186"/>
      <c r="BX463" s="178"/>
      <c r="BY463" s="186"/>
      <c r="BZ463" s="178"/>
      <c r="CA463" s="186"/>
      <c r="CB463" s="178"/>
      <c r="CC463" s="186"/>
      <c r="CD463" s="178"/>
      <c r="CE463" s="186"/>
      <c r="CF463" s="178"/>
      <c r="CG463" s="186"/>
      <c r="CH463" s="178"/>
      <c r="CI463" s="186"/>
      <c r="CJ463" s="178"/>
      <c r="CK463" s="186"/>
      <c r="CL463" s="178"/>
      <c r="CM463" s="186"/>
      <c r="CN463" s="178"/>
      <c r="CO463" s="186"/>
      <c r="CP463" s="178"/>
      <c r="CQ463" s="186"/>
      <c r="CR463" s="178"/>
      <c r="CS463" s="186"/>
      <c r="CT463" s="178"/>
      <c r="CU463" s="186"/>
      <c r="CV463" s="178"/>
      <c r="CW463" s="186"/>
      <c r="CX463" s="178"/>
      <c r="CY463" s="186"/>
      <c r="CZ463" s="178"/>
      <c r="DA463" s="186"/>
      <c r="DB463" s="178"/>
      <c r="DC463" s="186"/>
      <c r="DD463" s="178"/>
      <c r="DE463" s="186"/>
      <c r="DF463" s="178"/>
      <c r="DG463" s="186"/>
      <c r="DH463" s="178"/>
      <c r="DI463" s="186"/>
      <c r="DJ463" s="178"/>
      <c r="DK463" s="186"/>
      <c r="DL463" s="178"/>
      <c r="DM463" s="186"/>
      <c r="DN463" s="178"/>
      <c r="DO463" s="186"/>
      <c r="DP463" s="178"/>
      <c r="DQ463" s="186"/>
      <c r="DR463" s="178"/>
      <c r="DS463" s="186"/>
      <c r="DT463" s="178"/>
      <c r="DU463" s="186"/>
      <c r="DV463" s="178"/>
      <c r="DW463" s="186"/>
      <c r="DX463" s="178"/>
      <c r="DY463" s="186"/>
      <c r="DZ463" s="178"/>
      <c r="EA463" s="186"/>
      <c r="EB463" s="178"/>
      <c r="EC463" s="186"/>
      <c r="ED463" s="178"/>
      <c r="EE463" s="186"/>
      <c r="EF463" s="178"/>
      <c r="EG463" s="186"/>
      <c r="EH463" s="178"/>
      <c r="EI463" s="186"/>
      <c r="EJ463" s="178"/>
      <c r="EK463" s="186"/>
      <c r="EL463" s="178"/>
      <c r="EM463" s="186"/>
      <c r="EN463" s="178"/>
      <c r="EO463" s="186"/>
      <c r="EP463" s="178"/>
      <c r="EQ463" s="186"/>
      <c r="ER463" s="178"/>
      <c r="ES463" s="186"/>
      <c r="ET463" s="178"/>
      <c r="EU463" s="186"/>
      <c r="EV463" s="178"/>
      <c r="EW463" s="186"/>
      <c r="EX463" s="178"/>
      <c r="EY463" s="186"/>
      <c r="EZ463" s="178"/>
      <c r="FA463" s="186"/>
      <c r="FB463" s="178"/>
      <c r="FC463" s="186"/>
      <c r="FD463" s="178"/>
      <c r="FE463" s="186"/>
      <c r="FF463" s="178"/>
      <c r="FG463" s="186"/>
      <c r="FH463" s="178"/>
      <c r="FI463" s="186"/>
      <c r="FJ463" s="178"/>
      <c r="FK463" s="186"/>
      <c r="FL463" s="178"/>
      <c r="FM463" s="186"/>
      <c r="FN463" s="178"/>
      <c r="FO463" s="186"/>
      <c r="FP463" s="178"/>
      <c r="FQ463" s="186"/>
      <c r="FR463" s="178"/>
      <c r="FS463" s="186"/>
      <c r="FT463" s="178"/>
      <c r="FU463" s="186"/>
      <c r="FV463" s="178"/>
      <c r="FW463" s="186"/>
      <c r="FX463" s="178"/>
      <c r="FY463" s="186"/>
      <c r="FZ463" s="178"/>
      <c r="GA463" s="186"/>
      <c r="GB463" s="178"/>
      <c r="GC463" s="186"/>
      <c r="GD463" s="178"/>
      <c r="GE463" s="186"/>
      <c r="GF463" s="178"/>
      <c r="GG463" s="186"/>
      <c r="GH463" s="178"/>
      <c r="GI463" s="186"/>
      <c r="GJ463" s="178"/>
      <c r="GK463" s="186"/>
      <c r="GL463" s="178"/>
      <c r="GM463" s="186"/>
      <c r="GN463" s="178"/>
      <c r="GO463" s="186"/>
      <c r="GP463" s="178"/>
      <c r="GQ463" s="186"/>
      <c r="GR463" s="178"/>
      <c r="GS463" s="186"/>
      <c r="GT463" s="178"/>
      <c r="GU463" s="186"/>
      <c r="GV463" s="178"/>
      <c r="GW463" s="186"/>
      <c r="GX463" s="178"/>
      <c r="GY463" s="186"/>
      <c r="GZ463" s="178"/>
      <c r="HA463" s="186"/>
      <c r="HB463" s="178"/>
      <c r="HC463" s="186"/>
      <c r="HD463" s="178"/>
      <c r="HE463" s="186"/>
      <c r="HF463" s="178"/>
      <c r="HG463" s="186"/>
      <c r="HH463" s="178"/>
      <c r="HI463" s="186"/>
      <c r="HJ463" s="178"/>
      <c r="HK463" s="186"/>
      <c r="HL463" s="178"/>
      <c r="HM463" s="186"/>
      <c r="HN463" s="178"/>
      <c r="HO463" s="186"/>
      <c r="HP463" s="178"/>
      <c r="HQ463" s="186"/>
      <c r="HR463" s="178"/>
      <c r="HS463" s="186"/>
      <c r="HT463" s="178"/>
      <c r="HU463" s="186"/>
      <c r="HV463" s="178"/>
      <c r="HW463" s="186"/>
      <c r="HX463" s="178"/>
      <c r="HY463" s="186"/>
      <c r="HZ463" s="178"/>
      <c r="IA463" s="186"/>
      <c r="IB463" s="178"/>
      <c r="IC463" s="186"/>
      <c r="ID463" s="178"/>
      <c r="IE463" s="186"/>
      <c r="IF463" s="178"/>
      <c r="IG463" s="186"/>
      <c r="IH463" s="178"/>
      <c r="II463" s="186"/>
      <c r="IJ463" s="178"/>
      <c r="IK463" s="186"/>
      <c r="IL463" s="178"/>
      <c r="IM463" s="186"/>
      <c r="IN463" s="178"/>
      <c r="IO463" s="186"/>
      <c r="IP463" s="178"/>
      <c r="IQ463" s="186"/>
      <c r="IR463" s="178"/>
      <c r="IS463" s="186"/>
      <c r="IT463" s="178"/>
      <c r="IU463" s="186"/>
      <c r="IV463" s="178"/>
    </row>
    <row r="464" spans="1:256" ht="15.75">
      <c r="A464" s="206" t="s">
        <v>203</v>
      </c>
      <c r="B464" s="207" t="str">
        <f>IF('06_GPRS_GSM'!G19="","None Entered",IF('06_GPRS_GSM'!G19="none","None Entered",IF('06_GPRS_GSM'!G19="No default value","None Entered",IF('06_GPRS_GSM'!G19="No default values","None Entered",'06_GPRS_GSM'!G19))))</f>
        <v>None Entered</v>
      </c>
      <c r="C464" s="198" t="s">
        <v>745</v>
      </c>
      <c r="D464" s="199" t="s">
        <v>1187</v>
      </c>
      <c r="E464" s="131" t="s">
        <v>596</v>
      </c>
      <c r="F464" s="113" t="str">
        <f t="shared" si="3"/>
        <v>BytesPerData=2|ByteSwap=TRUE|StartByte=1203|IfDataIsNullDisplay=None Entered</v>
      </c>
      <c r="G464" s="141"/>
      <c r="H464" s="221">
        <f t="shared" si="5"/>
        <v>1203</v>
      </c>
      <c r="I464" s="186"/>
      <c r="J464" s="178"/>
      <c r="K464" s="186"/>
      <c r="L464" s="178"/>
      <c r="M464" s="186"/>
      <c r="N464" s="178"/>
      <c r="O464" s="186"/>
      <c r="P464" s="178"/>
      <c r="Q464" s="186"/>
      <c r="R464" s="178"/>
      <c r="S464" s="186"/>
      <c r="T464" s="178"/>
      <c r="U464" s="186"/>
      <c r="V464" s="178"/>
      <c r="W464" s="186"/>
      <c r="X464" s="178"/>
      <c r="Y464" s="186"/>
      <c r="Z464" s="178"/>
      <c r="AA464" s="186"/>
      <c r="AB464" s="178"/>
      <c r="AC464" s="186"/>
      <c r="AD464" s="178"/>
      <c r="AE464" s="186"/>
      <c r="AF464" s="178"/>
      <c r="AG464" s="186"/>
      <c r="AH464" s="178"/>
      <c r="AI464" s="186"/>
      <c r="AJ464" s="178"/>
      <c r="AK464" s="186"/>
      <c r="AL464" s="178"/>
      <c r="AM464" s="186"/>
      <c r="AN464" s="178"/>
      <c r="AO464" s="186"/>
      <c r="AP464" s="178"/>
      <c r="AQ464" s="186"/>
      <c r="AR464" s="178"/>
      <c r="AS464" s="186"/>
      <c r="AT464" s="178"/>
      <c r="AU464" s="186"/>
      <c r="AV464" s="178"/>
      <c r="AW464" s="186"/>
      <c r="AX464" s="178"/>
      <c r="AY464" s="186"/>
      <c r="AZ464" s="178"/>
      <c r="BA464" s="186"/>
      <c r="BB464" s="178"/>
      <c r="BC464" s="186"/>
      <c r="BD464" s="178"/>
      <c r="BE464" s="186"/>
      <c r="BF464" s="178"/>
      <c r="BG464" s="186"/>
      <c r="BH464" s="178"/>
      <c r="BI464" s="186"/>
      <c r="BJ464" s="178"/>
      <c r="BK464" s="186"/>
      <c r="BL464" s="178"/>
      <c r="BM464" s="186"/>
      <c r="BN464" s="178"/>
      <c r="BO464" s="186"/>
      <c r="BP464" s="178"/>
      <c r="BQ464" s="186"/>
      <c r="BR464" s="178"/>
      <c r="BS464" s="186"/>
      <c r="BT464" s="178"/>
      <c r="BU464" s="186"/>
      <c r="BV464" s="178"/>
      <c r="BW464" s="186"/>
      <c r="BX464" s="178"/>
      <c r="BY464" s="186"/>
      <c r="BZ464" s="178"/>
      <c r="CA464" s="186"/>
      <c r="CB464" s="178"/>
      <c r="CC464" s="186"/>
      <c r="CD464" s="178"/>
      <c r="CE464" s="186"/>
      <c r="CF464" s="178"/>
      <c r="CG464" s="186"/>
      <c r="CH464" s="178"/>
      <c r="CI464" s="186"/>
      <c r="CJ464" s="178"/>
      <c r="CK464" s="186"/>
      <c r="CL464" s="178"/>
      <c r="CM464" s="186"/>
      <c r="CN464" s="178"/>
      <c r="CO464" s="186"/>
      <c r="CP464" s="178"/>
      <c r="CQ464" s="186"/>
      <c r="CR464" s="178"/>
      <c r="CS464" s="186"/>
      <c r="CT464" s="178"/>
      <c r="CU464" s="186"/>
      <c r="CV464" s="178"/>
      <c r="CW464" s="186"/>
      <c r="CX464" s="178"/>
      <c r="CY464" s="186"/>
      <c r="CZ464" s="178"/>
      <c r="DA464" s="186"/>
      <c r="DB464" s="178"/>
      <c r="DC464" s="186"/>
      <c r="DD464" s="178"/>
      <c r="DE464" s="186"/>
      <c r="DF464" s="178"/>
      <c r="DG464" s="186"/>
      <c r="DH464" s="178"/>
      <c r="DI464" s="186"/>
      <c r="DJ464" s="178"/>
      <c r="DK464" s="186"/>
      <c r="DL464" s="178"/>
      <c r="DM464" s="186"/>
      <c r="DN464" s="178"/>
      <c r="DO464" s="186"/>
      <c r="DP464" s="178"/>
      <c r="DQ464" s="186"/>
      <c r="DR464" s="178"/>
      <c r="DS464" s="186"/>
      <c r="DT464" s="178"/>
      <c r="DU464" s="186"/>
      <c r="DV464" s="178"/>
      <c r="DW464" s="186"/>
      <c r="DX464" s="178"/>
      <c r="DY464" s="186"/>
      <c r="DZ464" s="178"/>
      <c r="EA464" s="186"/>
      <c r="EB464" s="178"/>
      <c r="EC464" s="186"/>
      <c r="ED464" s="178"/>
      <c r="EE464" s="186"/>
      <c r="EF464" s="178"/>
      <c r="EG464" s="186"/>
      <c r="EH464" s="178"/>
      <c r="EI464" s="186"/>
      <c r="EJ464" s="178"/>
      <c r="EK464" s="186"/>
      <c r="EL464" s="178"/>
      <c r="EM464" s="186"/>
      <c r="EN464" s="178"/>
      <c r="EO464" s="186"/>
      <c r="EP464" s="178"/>
      <c r="EQ464" s="186"/>
      <c r="ER464" s="178"/>
      <c r="ES464" s="186"/>
      <c r="ET464" s="178"/>
      <c r="EU464" s="186"/>
      <c r="EV464" s="178"/>
      <c r="EW464" s="186"/>
      <c r="EX464" s="178"/>
      <c r="EY464" s="186"/>
      <c r="EZ464" s="178"/>
      <c r="FA464" s="186"/>
      <c r="FB464" s="178"/>
      <c r="FC464" s="186"/>
      <c r="FD464" s="178"/>
      <c r="FE464" s="186"/>
      <c r="FF464" s="178"/>
      <c r="FG464" s="186"/>
      <c r="FH464" s="178"/>
      <c r="FI464" s="186"/>
      <c r="FJ464" s="178"/>
      <c r="FK464" s="186"/>
      <c r="FL464" s="178"/>
      <c r="FM464" s="186"/>
      <c r="FN464" s="178"/>
      <c r="FO464" s="186"/>
      <c r="FP464" s="178"/>
      <c r="FQ464" s="186"/>
      <c r="FR464" s="178"/>
      <c r="FS464" s="186"/>
      <c r="FT464" s="178"/>
      <c r="FU464" s="186"/>
      <c r="FV464" s="178"/>
      <c r="FW464" s="186"/>
      <c r="FX464" s="178"/>
      <c r="FY464" s="186"/>
      <c r="FZ464" s="178"/>
      <c r="GA464" s="186"/>
      <c r="GB464" s="178"/>
      <c r="GC464" s="186"/>
      <c r="GD464" s="178"/>
      <c r="GE464" s="186"/>
      <c r="GF464" s="178"/>
      <c r="GG464" s="186"/>
      <c r="GH464" s="178"/>
      <c r="GI464" s="186"/>
      <c r="GJ464" s="178"/>
      <c r="GK464" s="186"/>
      <c r="GL464" s="178"/>
      <c r="GM464" s="186"/>
      <c r="GN464" s="178"/>
      <c r="GO464" s="186"/>
      <c r="GP464" s="178"/>
      <c r="GQ464" s="186"/>
      <c r="GR464" s="178"/>
      <c r="GS464" s="186"/>
      <c r="GT464" s="178"/>
      <c r="GU464" s="186"/>
      <c r="GV464" s="178"/>
      <c r="GW464" s="186"/>
      <c r="GX464" s="178"/>
      <c r="GY464" s="186"/>
      <c r="GZ464" s="178"/>
      <c r="HA464" s="186"/>
      <c r="HB464" s="178"/>
      <c r="HC464" s="186"/>
      <c r="HD464" s="178"/>
      <c r="HE464" s="186"/>
      <c r="HF464" s="178"/>
      <c r="HG464" s="186"/>
      <c r="HH464" s="178"/>
      <c r="HI464" s="186"/>
      <c r="HJ464" s="178"/>
      <c r="HK464" s="186"/>
      <c r="HL464" s="178"/>
      <c r="HM464" s="186"/>
      <c r="HN464" s="178"/>
      <c r="HO464" s="186"/>
      <c r="HP464" s="178"/>
      <c r="HQ464" s="186"/>
      <c r="HR464" s="178"/>
      <c r="HS464" s="186"/>
      <c r="HT464" s="178"/>
      <c r="HU464" s="186"/>
      <c r="HV464" s="178"/>
      <c r="HW464" s="186"/>
      <c r="HX464" s="178"/>
      <c r="HY464" s="186"/>
      <c r="HZ464" s="178"/>
      <c r="IA464" s="186"/>
      <c r="IB464" s="178"/>
      <c r="IC464" s="186"/>
      <c r="ID464" s="178"/>
      <c r="IE464" s="186"/>
      <c r="IF464" s="178"/>
      <c r="IG464" s="186"/>
      <c r="IH464" s="178"/>
      <c r="II464" s="186"/>
      <c r="IJ464" s="178"/>
      <c r="IK464" s="186"/>
      <c r="IL464" s="178"/>
      <c r="IM464" s="186"/>
      <c r="IN464" s="178"/>
      <c r="IO464" s="186"/>
      <c r="IP464" s="178"/>
      <c r="IQ464" s="186"/>
      <c r="IR464" s="178"/>
      <c r="IS464" s="186"/>
      <c r="IT464" s="178"/>
      <c r="IU464" s="186"/>
      <c r="IV464" s="178"/>
    </row>
    <row r="465" spans="1:256" ht="15.75">
      <c r="A465" s="206" t="s">
        <v>204</v>
      </c>
      <c r="B465" s="207" t="str">
        <f>IF('06_GPRS_GSM'!G20="","None Entered",IF('06_GPRS_GSM'!G20="none","None Entered",IF('06_GPRS_GSM'!G20="No default value","None Entered",IF('06_GPRS_GSM'!G20="No default values","None Entered",'06_GPRS_GSM'!G20))))</f>
        <v>None Entered</v>
      </c>
      <c r="C465" s="198" t="s">
        <v>745</v>
      </c>
      <c r="D465" s="199" t="s">
        <v>1187</v>
      </c>
      <c r="E465" s="131" t="s">
        <v>596</v>
      </c>
      <c r="F465" s="113" t="str">
        <f t="shared" si="4"/>
        <v>BytesPerData=1|ByteSwap=TRUE|StartByte=1066|IfDataIsNullDisplay=None Entered</v>
      </c>
      <c r="G465" s="141"/>
      <c r="H465" s="221">
        <f t="shared" si="5"/>
        <v>1066</v>
      </c>
      <c r="I465" s="186"/>
      <c r="J465" s="178"/>
      <c r="K465" s="186"/>
      <c r="L465" s="178"/>
      <c r="M465" s="186"/>
      <c r="N465" s="178"/>
      <c r="O465" s="186"/>
      <c r="P465" s="178"/>
      <c r="Q465" s="186"/>
      <c r="R465" s="178"/>
      <c r="S465" s="186"/>
      <c r="T465" s="178"/>
      <c r="U465" s="186"/>
      <c r="V465" s="178"/>
      <c r="W465" s="186"/>
      <c r="X465" s="178"/>
      <c r="Y465" s="186"/>
      <c r="Z465" s="178"/>
      <c r="AA465" s="186"/>
      <c r="AB465" s="178"/>
      <c r="AC465" s="186"/>
      <c r="AD465" s="178"/>
      <c r="AE465" s="186"/>
      <c r="AF465" s="178"/>
      <c r="AG465" s="186"/>
      <c r="AH465" s="178"/>
      <c r="AI465" s="186"/>
      <c r="AJ465" s="178"/>
      <c r="AK465" s="186"/>
      <c r="AL465" s="178"/>
      <c r="AM465" s="186"/>
      <c r="AN465" s="178"/>
      <c r="AO465" s="186"/>
      <c r="AP465" s="178"/>
      <c r="AQ465" s="186"/>
      <c r="AR465" s="178"/>
      <c r="AS465" s="186"/>
      <c r="AT465" s="178"/>
      <c r="AU465" s="186"/>
      <c r="AV465" s="178"/>
      <c r="AW465" s="186"/>
      <c r="AX465" s="178"/>
      <c r="AY465" s="186"/>
      <c r="AZ465" s="178"/>
      <c r="BA465" s="186"/>
      <c r="BB465" s="178"/>
      <c r="BC465" s="186"/>
      <c r="BD465" s="178"/>
      <c r="BE465" s="186"/>
      <c r="BF465" s="178"/>
      <c r="BG465" s="186"/>
      <c r="BH465" s="178"/>
      <c r="BI465" s="186"/>
      <c r="BJ465" s="178"/>
      <c r="BK465" s="186"/>
      <c r="BL465" s="178"/>
      <c r="BM465" s="186"/>
      <c r="BN465" s="178"/>
      <c r="BO465" s="186"/>
      <c r="BP465" s="178"/>
      <c r="BQ465" s="186"/>
      <c r="BR465" s="178"/>
      <c r="BS465" s="186"/>
      <c r="BT465" s="178"/>
      <c r="BU465" s="186"/>
      <c r="BV465" s="178"/>
      <c r="BW465" s="186"/>
      <c r="BX465" s="178"/>
      <c r="BY465" s="186"/>
      <c r="BZ465" s="178"/>
      <c r="CA465" s="186"/>
      <c r="CB465" s="178"/>
      <c r="CC465" s="186"/>
      <c r="CD465" s="178"/>
      <c r="CE465" s="186"/>
      <c r="CF465" s="178"/>
      <c r="CG465" s="186"/>
      <c r="CH465" s="178"/>
      <c r="CI465" s="186"/>
      <c r="CJ465" s="178"/>
      <c r="CK465" s="186"/>
      <c r="CL465" s="178"/>
      <c r="CM465" s="186"/>
      <c r="CN465" s="178"/>
      <c r="CO465" s="186"/>
      <c r="CP465" s="178"/>
      <c r="CQ465" s="186"/>
      <c r="CR465" s="178"/>
      <c r="CS465" s="186"/>
      <c r="CT465" s="178"/>
      <c r="CU465" s="186"/>
      <c r="CV465" s="178"/>
      <c r="CW465" s="186"/>
      <c r="CX465" s="178"/>
      <c r="CY465" s="186"/>
      <c r="CZ465" s="178"/>
      <c r="DA465" s="186"/>
      <c r="DB465" s="178"/>
      <c r="DC465" s="186"/>
      <c r="DD465" s="178"/>
      <c r="DE465" s="186"/>
      <c r="DF465" s="178"/>
      <c r="DG465" s="186"/>
      <c r="DH465" s="178"/>
      <c r="DI465" s="186"/>
      <c r="DJ465" s="178"/>
      <c r="DK465" s="186"/>
      <c r="DL465" s="178"/>
      <c r="DM465" s="186"/>
      <c r="DN465" s="178"/>
      <c r="DO465" s="186"/>
      <c r="DP465" s="178"/>
      <c r="DQ465" s="186"/>
      <c r="DR465" s="178"/>
      <c r="DS465" s="186"/>
      <c r="DT465" s="178"/>
      <c r="DU465" s="186"/>
      <c r="DV465" s="178"/>
      <c r="DW465" s="186"/>
      <c r="DX465" s="178"/>
      <c r="DY465" s="186"/>
      <c r="DZ465" s="178"/>
      <c r="EA465" s="186"/>
      <c r="EB465" s="178"/>
      <c r="EC465" s="186"/>
      <c r="ED465" s="178"/>
      <c r="EE465" s="186"/>
      <c r="EF465" s="178"/>
      <c r="EG465" s="186"/>
      <c r="EH465" s="178"/>
      <c r="EI465" s="186"/>
      <c r="EJ465" s="178"/>
      <c r="EK465" s="186"/>
      <c r="EL465" s="178"/>
      <c r="EM465" s="186"/>
      <c r="EN465" s="178"/>
      <c r="EO465" s="186"/>
      <c r="EP465" s="178"/>
      <c r="EQ465" s="186"/>
      <c r="ER465" s="178"/>
      <c r="ES465" s="186"/>
      <c r="ET465" s="178"/>
      <c r="EU465" s="186"/>
      <c r="EV465" s="178"/>
      <c r="EW465" s="186"/>
      <c r="EX465" s="178"/>
      <c r="EY465" s="186"/>
      <c r="EZ465" s="178"/>
      <c r="FA465" s="186"/>
      <c r="FB465" s="178"/>
      <c r="FC465" s="186"/>
      <c r="FD465" s="178"/>
      <c r="FE465" s="186"/>
      <c r="FF465" s="178"/>
      <c r="FG465" s="186"/>
      <c r="FH465" s="178"/>
      <c r="FI465" s="186"/>
      <c r="FJ465" s="178"/>
      <c r="FK465" s="186"/>
      <c r="FL465" s="178"/>
      <c r="FM465" s="186"/>
      <c r="FN465" s="178"/>
      <c r="FO465" s="186"/>
      <c r="FP465" s="178"/>
      <c r="FQ465" s="186"/>
      <c r="FR465" s="178"/>
      <c r="FS465" s="186"/>
      <c r="FT465" s="178"/>
      <c r="FU465" s="186"/>
      <c r="FV465" s="178"/>
      <c r="FW465" s="186"/>
      <c r="FX465" s="178"/>
      <c r="FY465" s="186"/>
      <c r="FZ465" s="178"/>
      <c r="GA465" s="186"/>
      <c r="GB465" s="178"/>
      <c r="GC465" s="186"/>
      <c r="GD465" s="178"/>
      <c r="GE465" s="186"/>
      <c r="GF465" s="178"/>
      <c r="GG465" s="186"/>
      <c r="GH465" s="178"/>
      <c r="GI465" s="186"/>
      <c r="GJ465" s="178"/>
      <c r="GK465" s="186"/>
      <c r="GL465" s="178"/>
      <c r="GM465" s="186"/>
      <c r="GN465" s="178"/>
      <c r="GO465" s="186"/>
      <c r="GP465" s="178"/>
      <c r="GQ465" s="186"/>
      <c r="GR465" s="178"/>
      <c r="GS465" s="186"/>
      <c r="GT465" s="178"/>
      <c r="GU465" s="186"/>
      <c r="GV465" s="178"/>
      <c r="GW465" s="186"/>
      <c r="GX465" s="178"/>
      <c r="GY465" s="186"/>
      <c r="GZ465" s="178"/>
      <c r="HA465" s="186"/>
      <c r="HB465" s="178"/>
      <c r="HC465" s="186"/>
      <c r="HD465" s="178"/>
      <c r="HE465" s="186"/>
      <c r="HF465" s="178"/>
      <c r="HG465" s="186"/>
      <c r="HH465" s="178"/>
      <c r="HI465" s="186"/>
      <c r="HJ465" s="178"/>
      <c r="HK465" s="186"/>
      <c r="HL465" s="178"/>
      <c r="HM465" s="186"/>
      <c r="HN465" s="178"/>
      <c r="HO465" s="186"/>
      <c r="HP465" s="178"/>
      <c r="HQ465" s="186"/>
      <c r="HR465" s="178"/>
      <c r="HS465" s="186"/>
      <c r="HT465" s="178"/>
      <c r="HU465" s="186"/>
      <c r="HV465" s="178"/>
      <c r="HW465" s="186"/>
      <c r="HX465" s="178"/>
      <c r="HY465" s="186"/>
      <c r="HZ465" s="178"/>
      <c r="IA465" s="186"/>
      <c r="IB465" s="178"/>
      <c r="IC465" s="186"/>
      <c r="ID465" s="178"/>
      <c r="IE465" s="186"/>
      <c r="IF465" s="178"/>
      <c r="IG465" s="186"/>
      <c r="IH465" s="178"/>
      <c r="II465" s="186"/>
      <c r="IJ465" s="178"/>
      <c r="IK465" s="186"/>
      <c r="IL465" s="178"/>
      <c r="IM465" s="186"/>
      <c r="IN465" s="178"/>
      <c r="IO465" s="186"/>
      <c r="IP465" s="178"/>
      <c r="IQ465" s="186"/>
      <c r="IR465" s="178"/>
      <c r="IS465" s="186"/>
      <c r="IT465" s="178"/>
      <c r="IU465" s="186"/>
      <c r="IV465" s="178"/>
    </row>
    <row r="466" spans="1:256" ht="15.75">
      <c r="A466" s="206" t="s">
        <v>1188</v>
      </c>
      <c r="B466" s="207" t="str">
        <f>IF('06_GPRS_GSM'!G21="","None Entered",IF('06_GPRS_GSM'!G21="none","None Entered",IF('06_GPRS_GSM'!G21="No default value","None Entered",IF('06_GPRS_GSM'!G21="No default values","None Entered",'06_GPRS_GSM'!G21))))</f>
        <v>None Entered</v>
      </c>
      <c r="C466" s="198" t="s">
        <v>745</v>
      </c>
      <c r="D466" s="199" t="s">
        <v>1187</v>
      </c>
      <c r="E466" s="131" t="s">
        <v>596</v>
      </c>
      <c r="F466" s="113" t="str">
        <f t="shared" si="3"/>
        <v>BytesPerData=2|ByteSwap=TRUE|StartByte=1415|IfDataIsNullDisplay=None Entered</v>
      </c>
      <c r="G466" s="141"/>
      <c r="H466" s="221">
        <f t="shared" si="5"/>
        <v>1415</v>
      </c>
      <c r="I466" s="186"/>
      <c r="J466" s="178"/>
      <c r="K466" s="186"/>
      <c r="L466" s="178"/>
      <c r="M466" s="186"/>
      <c r="N466" s="178"/>
      <c r="O466" s="186"/>
      <c r="P466" s="178"/>
      <c r="Q466" s="186"/>
      <c r="R466" s="178"/>
      <c r="S466" s="186"/>
      <c r="T466" s="178"/>
      <c r="U466" s="186"/>
      <c r="V466" s="178"/>
      <c r="W466" s="186"/>
      <c r="X466" s="178"/>
      <c r="Y466" s="186"/>
      <c r="Z466" s="178"/>
      <c r="AA466" s="186"/>
      <c r="AB466" s="178"/>
      <c r="AC466" s="186"/>
      <c r="AD466" s="178"/>
      <c r="AE466" s="186"/>
      <c r="AF466" s="178"/>
      <c r="AG466" s="186"/>
      <c r="AH466" s="178"/>
      <c r="AI466" s="186"/>
      <c r="AJ466" s="178"/>
      <c r="AK466" s="186"/>
      <c r="AL466" s="178"/>
      <c r="AM466" s="186"/>
      <c r="AN466" s="178"/>
      <c r="AO466" s="186"/>
      <c r="AP466" s="178"/>
      <c r="AQ466" s="186"/>
      <c r="AR466" s="178"/>
      <c r="AS466" s="186"/>
      <c r="AT466" s="178"/>
      <c r="AU466" s="186"/>
      <c r="AV466" s="178"/>
      <c r="AW466" s="186"/>
      <c r="AX466" s="178"/>
      <c r="AY466" s="186"/>
      <c r="AZ466" s="178"/>
      <c r="BA466" s="186"/>
      <c r="BB466" s="178"/>
      <c r="BC466" s="186"/>
      <c r="BD466" s="178"/>
      <c r="BE466" s="186"/>
      <c r="BF466" s="178"/>
      <c r="BG466" s="186"/>
      <c r="BH466" s="178"/>
      <c r="BI466" s="186"/>
      <c r="BJ466" s="178"/>
      <c r="BK466" s="186"/>
      <c r="BL466" s="178"/>
      <c r="BM466" s="186"/>
      <c r="BN466" s="178"/>
      <c r="BO466" s="186"/>
      <c r="BP466" s="178"/>
      <c r="BQ466" s="186"/>
      <c r="BR466" s="178"/>
      <c r="BS466" s="186"/>
      <c r="BT466" s="178"/>
      <c r="BU466" s="186"/>
      <c r="BV466" s="178"/>
      <c r="BW466" s="186"/>
      <c r="BX466" s="178"/>
      <c r="BY466" s="186"/>
      <c r="BZ466" s="178"/>
      <c r="CA466" s="186"/>
      <c r="CB466" s="178"/>
      <c r="CC466" s="186"/>
      <c r="CD466" s="178"/>
      <c r="CE466" s="186"/>
      <c r="CF466" s="178"/>
      <c r="CG466" s="186"/>
      <c r="CH466" s="178"/>
      <c r="CI466" s="186"/>
      <c r="CJ466" s="178"/>
      <c r="CK466" s="186"/>
      <c r="CL466" s="178"/>
      <c r="CM466" s="186"/>
      <c r="CN466" s="178"/>
      <c r="CO466" s="186"/>
      <c r="CP466" s="178"/>
      <c r="CQ466" s="186"/>
      <c r="CR466" s="178"/>
      <c r="CS466" s="186"/>
      <c r="CT466" s="178"/>
      <c r="CU466" s="186"/>
      <c r="CV466" s="178"/>
      <c r="CW466" s="186"/>
      <c r="CX466" s="178"/>
      <c r="CY466" s="186"/>
      <c r="CZ466" s="178"/>
      <c r="DA466" s="186"/>
      <c r="DB466" s="178"/>
      <c r="DC466" s="186"/>
      <c r="DD466" s="178"/>
      <c r="DE466" s="186"/>
      <c r="DF466" s="178"/>
      <c r="DG466" s="186"/>
      <c r="DH466" s="178"/>
      <c r="DI466" s="186"/>
      <c r="DJ466" s="178"/>
      <c r="DK466" s="186"/>
      <c r="DL466" s="178"/>
      <c r="DM466" s="186"/>
      <c r="DN466" s="178"/>
      <c r="DO466" s="186"/>
      <c r="DP466" s="178"/>
      <c r="DQ466" s="186"/>
      <c r="DR466" s="178"/>
      <c r="DS466" s="186"/>
      <c r="DT466" s="178"/>
      <c r="DU466" s="186"/>
      <c r="DV466" s="178"/>
      <c r="DW466" s="186"/>
      <c r="DX466" s="178"/>
      <c r="DY466" s="186"/>
      <c r="DZ466" s="178"/>
      <c r="EA466" s="186"/>
      <c r="EB466" s="178"/>
      <c r="EC466" s="186"/>
      <c r="ED466" s="178"/>
      <c r="EE466" s="186"/>
      <c r="EF466" s="178"/>
      <c r="EG466" s="186"/>
      <c r="EH466" s="178"/>
      <c r="EI466" s="186"/>
      <c r="EJ466" s="178"/>
      <c r="EK466" s="186"/>
      <c r="EL466" s="178"/>
      <c r="EM466" s="186"/>
      <c r="EN466" s="178"/>
      <c r="EO466" s="186"/>
      <c r="EP466" s="178"/>
      <c r="EQ466" s="186"/>
      <c r="ER466" s="178"/>
      <c r="ES466" s="186"/>
      <c r="ET466" s="178"/>
      <c r="EU466" s="186"/>
      <c r="EV466" s="178"/>
      <c r="EW466" s="186"/>
      <c r="EX466" s="178"/>
      <c r="EY466" s="186"/>
      <c r="EZ466" s="178"/>
      <c r="FA466" s="186"/>
      <c r="FB466" s="178"/>
      <c r="FC466" s="186"/>
      <c r="FD466" s="178"/>
      <c r="FE466" s="186"/>
      <c r="FF466" s="178"/>
      <c r="FG466" s="186"/>
      <c r="FH466" s="178"/>
      <c r="FI466" s="186"/>
      <c r="FJ466" s="178"/>
      <c r="FK466" s="186"/>
      <c r="FL466" s="178"/>
      <c r="FM466" s="186"/>
      <c r="FN466" s="178"/>
      <c r="FO466" s="186"/>
      <c r="FP466" s="178"/>
      <c r="FQ466" s="186"/>
      <c r="FR466" s="178"/>
      <c r="FS466" s="186"/>
      <c r="FT466" s="178"/>
      <c r="FU466" s="186"/>
      <c r="FV466" s="178"/>
      <c r="FW466" s="186"/>
      <c r="FX466" s="178"/>
      <c r="FY466" s="186"/>
      <c r="FZ466" s="178"/>
      <c r="GA466" s="186"/>
      <c r="GB466" s="178"/>
      <c r="GC466" s="186"/>
      <c r="GD466" s="178"/>
      <c r="GE466" s="186"/>
      <c r="GF466" s="178"/>
      <c r="GG466" s="186"/>
      <c r="GH466" s="178"/>
      <c r="GI466" s="186"/>
      <c r="GJ466" s="178"/>
      <c r="GK466" s="186"/>
      <c r="GL466" s="178"/>
      <c r="GM466" s="186"/>
      <c r="GN466" s="178"/>
      <c r="GO466" s="186"/>
      <c r="GP466" s="178"/>
      <c r="GQ466" s="186"/>
      <c r="GR466" s="178"/>
      <c r="GS466" s="186"/>
      <c r="GT466" s="178"/>
      <c r="GU466" s="186"/>
      <c r="GV466" s="178"/>
      <c r="GW466" s="186"/>
      <c r="GX466" s="178"/>
      <c r="GY466" s="186"/>
      <c r="GZ466" s="178"/>
      <c r="HA466" s="186"/>
      <c r="HB466" s="178"/>
      <c r="HC466" s="186"/>
      <c r="HD466" s="178"/>
      <c r="HE466" s="186"/>
      <c r="HF466" s="178"/>
      <c r="HG466" s="186"/>
      <c r="HH466" s="178"/>
      <c r="HI466" s="186"/>
      <c r="HJ466" s="178"/>
      <c r="HK466" s="186"/>
      <c r="HL466" s="178"/>
      <c r="HM466" s="186"/>
      <c r="HN466" s="178"/>
      <c r="HO466" s="186"/>
      <c r="HP466" s="178"/>
      <c r="HQ466" s="186"/>
      <c r="HR466" s="178"/>
      <c r="HS466" s="186"/>
      <c r="HT466" s="178"/>
      <c r="HU466" s="186"/>
      <c r="HV466" s="178"/>
      <c r="HW466" s="186"/>
      <c r="HX466" s="178"/>
      <c r="HY466" s="186"/>
      <c r="HZ466" s="178"/>
      <c r="IA466" s="186"/>
      <c r="IB466" s="178"/>
      <c r="IC466" s="186"/>
      <c r="ID466" s="178"/>
      <c r="IE466" s="186"/>
      <c r="IF466" s="178"/>
      <c r="IG466" s="186"/>
      <c r="IH466" s="178"/>
      <c r="II466" s="186"/>
      <c r="IJ466" s="178"/>
      <c r="IK466" s="186"/>
      <c r="IL466" s="178"/>
      <c r="IM466" s="186"/>
      <c r="IN466" s="178"/>
      <c r="IO466" s="186"/>
      <c r="IP466" s="178"/>
      <c r="IQ466" s="186"/>
      <c r="IR466" s="178"/>
      <c r="IS466" s="186"/>
      <c r="IT466" s="178"/>
      <c r="IU466" s="186"/>
      <c r="IV466" s="178"/>
    </row>
    <row r="467" spans="1:256" ht="15.75">
      <c r="A467" s="206" t="s">
        <v>1190</v>
      </c>
      <c r="B467" s="207" t="str">
        <f>IF('06_GPRS_GSM'!G22="","None Entered",IF('06_GPRS_GSM'!G22="none","None Entered",IF('06_GPRS_GSM'!G22="No default value","None Entered",IF('06_GPRS_GSM'!G22="No default values","None Entered",'06_GPRS_GSM'!G22))))</f>
        <v>None Entered</v>
      </c>
      <c r="C467" s="198" t="s">
        <v>745</v>
      </c>
      <c r="D467" s="199" t="s">
        <v>1187</v>
      </c>
      <c r="E467" s="131" t="s">
        <v>596</v>
      </c>
      <c r="F467" s="113" t="str">
        <f t="shared" si="4"/>
        <v>BytesPerData=1|ByteSwap=TRUE|StartByte=1278|IfDataIsNullDisplay=None Entered</v>
      </c>
      <c r="G467" s="141"/>
      <c r="H467" s="221">
        <f t="shared" si="5"/>
        <v>1278</v>
      </c>
      <c r="I467" s="186"/>
      <c r="J467" s="178"/>
      <c r="K467" s="186"/>
      <c r="L467" s="178"/>
      <c r="M467" s="186"/>
      <c r="N467" s="178"/>
      <c r="O467" s="186"/>
      <c r="P467" s="178"/>
      <c r="Q467" s="186"/>
      <c r="R467" s="178"/>
      <c r="S467" s="186"/>
      <c r="T467" s="178"/>
      <c r="U467" s="186"/>
      <c r="V467" s="178"/>
      <c r="W467" s="186"/>
      <c r="X467" s="178"/>
      <c r="Y467" s="186"/>
      <c r="Z467" s="178"/>
      <c r="AA467" s="186"/>
      <c r="AB467" s="178"/>
      <c r="AC467" s="186"/>
      <c r="AD467" s="178"/>
      <c r="AE467" s="186"/>
      <c r="AF467" s="178"/>
      <c r="AG467" s="186"/>
      <c r="AH467" s="178"/>
      <c r="AI467" s="186"/>
      <c r="AJ467" s="178"/>
      <c r="AK467" s="186"/>
      <c r="AL467" s="178"/>
      <c r="AM467" s="186"/>
      <c r="AN467" s="178"/>
      <c r="AO467" s="186"/>
      <c r="AP467" s="178"/>
      <c r="AQ467" s="186"/>
      <c r="AR467" s="178"/>
      <c r="AS467" s="186"/>
      <c r="AT467" s="178"/>
      <c r="AU467" s="186"/>
      <c r="AV467" s="178"/>
      <c r="AW467" s="186"/>
      <c r="AX467" s="178"/>
      <c r="AY467" s="186"/>
      <c r="AZ467" s="178"/>
      <c r="BA467" s="186"/>
      <c r="BB467" s="178"/>
      <c r="BC467" s="186"/>
      <c r="BD467" s="178"/>
      <c r="BE467" s="186"/>
      <c r="BF467" s="178"/>
      <c r="BG467" s="186"/>
      <c r="BH467" s="178"/>
      <c r="BI467" s="186"/>
      <c r="BJ467" s="178"/>
      <c r="BK467" s="186"/>
      <c r="BL467" s="178"/>
      <c r="BM467" s="186"/>
      <c r="BN467" s="178"/>
      <c r="BO467" s="186"/>
      <c r="BP467" s="178"/>
      <c r="BQ467" s="186"/>
      <c r="BR467" s="178"/>
      <c r="BS467" s="186"/>
      <c r="BT467" s="178"/>
      <c r="BU467" s="186"/>
      <c r="BV467" s="178"/>
      <c r="BW467" s="186"/>
      <c r="BX467" s="178"/>
      <c r="BY467" s="186"/>
      <c r="BZ467" s="178"/>
      <c r="CA467" s="186"/>
      <c r="CB467" s="178"/>
      <c r="CC467" s="186"/>
      <c r="CD467" s="178"/>
      <c r="CE467" s="186"/>
      <c r="CF467" s="178"/>
      <c r="CG467" s="186"/>
      <c r="CH467" s="178"/>
      <c r="CI467" s="186"/>
      <c r="CJ467" s="178"/>
      <c r="CK467" s="186"/>
      <c r="CL467" s="178"/>
      <c r="CM467" s="186"/>
      <c r="CN467" s="178"/>
      <c r="CO467" s="186"/>
      <c r="CP467" s="178"/>
      <c r="CQ467" s="186"/>
      <c r="CR467" s="178"/>
      <c r="CS467" s="186"/>
      <c r="CT467" s="178"/>
      <c r="CU467" s="186"/>
      <c r="CV467" s="178"/>
      <c r="CW467" s="186"/>
      <c r="CX467" s="178"/>
      <c r="CY467" s="186"/>
      <c r="CZ467" s="178"/>
      <c r="DA467" s="186"/>
      <c r="DB467" s="178"/>
      <c r="DC467" s="186"/>
      <c r="DD467" s="178"/>
      <c r="DE467" s="186"/>
      <c r="DF467" s="178"/>
      <c r="DG467" s="186"/>
      <c r="DH467" s="178"/>
      <c r="DI467" s="186"/>
      <c r="DJ467" s="178"/>
      <c r="DK467" s="186"/>
      <c r="DL467" s="178"/>
      <c r="DM467" s="186"/>
      <c r="DN467" s="178"/>
      <c r="DO467" s="186"/>
      <c r="DP467" s="178"/>
      <c r="DQ467" s="186"/>
      <c r="DR467" s="178"/>
      <c r="DS467" s="186"/>
      <c r="DT467" s="178"/>
      <c r="DU467" s="186"/>
      <c r="DV467" s="178"/>
      <c r="DW467" s="186"/>
      <c r="DX467" s="178"/>
      <c r="DY467" s="186"/>
      <c r="DZ467" s="178"/>
      <c r="EA467" s="186"/>
      <c r="EB467" s="178"/>
      <c r="EC467" s="186"/>
      <c r="ED467" s="178"/>
      <c r="EE467" s="186"/>
      <c r="EF467" s="178"/>
      <c r="EG467" s="186"/>
      <c r="EH467" s="178"/>
      <c r="EI467" s="186"/>
      <c r="EJ467" s="178"/>
      <c r="EK467" s="186"/>
      <c r="EL467" s="178"/>
      <c r="EM467" s="186"/>
      <c r="EN467" s="178"/>
      <c r="EO467" s="186"/>
      <c r="EP467" s="178"/>
      <c r="EQ467" s="186"/>
      <c r="ER467" s="178"/>
      <c r="ES467" s="186"/>
      <c r="ET467" s="178"/>
      <c r="EU467" s="186"/>
      <c r="EV467" s="178"/>
      <c r="EW467" s="186"/>
      <c r="EX467" s="178"/>
      <c r="EY467" s="186"/>
      <c r="EZ467" s="178"/>
      <c r="FA467" s="186"/>
      <c r="FB467" s="178"/>
      <c r="FC467" s="186"/>
      <c r="FD467" s="178"/>
      <c r="FE467" s="186"/>
      <c r="FF467" s="178"/>
      <c r="FG467" s="186"/>
      <c r="FH467" s="178"/>
      <c r="FI467" s="186"/>
      <c r="FJ467" s="178"/>
      <c r="FK467" s="186"/>
      <c r="FL467" s="178"/>
      <c r="FM467" s="186"/>
      <c r="FN467" s="178"/>
      <c r="FO467" s="186"/>
      <c r="FP467" s="178"/>
      <c r="FQ467" s="186"/>
      <c r="FR467" s="178"/>
      <c r="FS467" s="186"/>
      <c r="FT467" s="178"/>
      <c r="FU467" s="186"/>
      <c r="FV467" s="178"/>
      <c r="FW467" s="186"/>
      <c r="FX467" s="178"/>
      <c r="FY467" s="186"/>
      <c r="FZ467" s="178"/>
      <c r="GA467" s="186"/>
      <c r="GB467" s="178"/>
      <c r="GC467" s="186"/>
      <c r="GD467" s="178"/>
      <c r="GE467" s="186"/>
      <c r="GF467" s="178"/>
      <c r="GG467" s="186"/>
      <c r="GH467" s="178"/>
      <c r="GI467" s="186"/>
      <c r="GJ467" s="178"/>
      <c r="GK467" s="186"/>
      <c r="GL467" s="178"/>
      <c r="GM467" s="186"/>
      <c r="GN467" s="178"/>
      <c r="GO467" s="186"/>
      <c r="GP467" s="178"/>
      <c r="GQ467" s="186"/>
      <c r="GR467" s="178"/>
      <c r="GS467" s="186"/>
      <c r="GT467" s="178"/>
      <c r="GU467" s="186"/>
      <c r="GV467" s="178"/>
      <c r="GW467" s="186"/>
      <c r="GX467" s="178"/>
      <c r="GY467" s="186"/>
      <c r="GZ467" s="178"/>
      <c r="HA467" s="186"/>
      <c r="HB467" s="178"/>
      <c r="HC467" s="186"/>
      <c r="HD467" s="178"/>
      <c r="HE467" s="186"/>
      <c r="HF467" s="178"/>
      <c r="HG467" s="186"/>
      <c r="HH467" s="178"/>
      <c r="HI467" s="186"/>
      <c r="HJ467" s="178"/>
      <c r="HK467" s="186"/>
      <c r="HL467" s="178"/>
      <c r="HM467" s="186"/>
      <c r="HN467" s="178"/>
      <c r="HO467" s="186"/>
      <c r="HP467" s="178"/>
      <c r="HQ467" s="186"/>
      <c r="HR467" s="178"/>
      <c r="HS467" s="186"/>
      <c r="HT467" s="178"/>
      <c r="HU467" s="186"/>
      <c r="HV467" s="178"/>
      <c r="HW467" s="186"/>
      <c r="HX467" s="178"/>
      <c r="HY467" s="186"/>
      <c r="HZ467" s="178"/>
      <c r="IA467" s="186"/>
      <c r="IB467" s="178"/>
      <c r="IC467" s="186"/>
      <c r="ID467" s="178"/>
      <c r="IE467" s="186"/>
      <c r="IF467" s="178"/>
      <c r="IG467" s="186"/>
      <c r="IH467" s="178"/>
      <c r="II467" s="186"/>
      <c r="IJ467" s="178"/>
      <c r="IK467" s="186"/>
      <c r="IL467" s="178"/>
      <c r="IM467" s="186"/>
      <c r="IN467" s="178"/>
      <c r="IO467" s="186"/>
      <c r="IP467" s="178"/>
      <c r="IQ467" s="186"/>
      <c r="IR467" s="178"/>
      <c r="IS467" s="186"/>
      <c r="IT467" s="178"/>
      <c r="IU467" s="186"/>
      <c r="IV467" s="178"/>
    </row>
    <row r="468" spans="1:256" ht="15.75">
      <c r="A468" s="206" t="s">
        <v>1191</v>
      </c>
      <c r="B468" s="207" t="str">
        <f>IF('06_GPRS_GSM'!G23="","None Entered",IF('06_GPRS_GSM'!G23="none","None Entered",IF('06_GPRS_GSM'!G23="No default value","None Entered",IF('06_GPRS_GSM'!G23="No default values","None Entered",'06_GPRS_GSM'!G23))))</f>
        <v>None Entered</v>
      </c>
      <c r="C468" s="198" t="s">
        <v>745</v>
      </c>
      <c r="D468" s="199" t="s">
        <v>1187</v>
      </c>
      <c r="E468" s="131" t="s">
        <v>596</v>
      </c>
      <c r="F468" s="113" t="str">
        <f t="shared" si="3"/>
        <v>BytesPerData=2|ByteSwap=TRUE|StartByte=1627|IfDataIsNullDisplay=None Entered</v>
      </c>
      <c r="G468" s="141"/>
      <c r="H468" s="221">
        <f t="shared" si="5"/>
        <v>1627</v>
      </c>
      <c r="I468" s="186"/>
      <c r="J468" s="178"/>
      <c r="K468" s="186"/>
      <c r="L468" s="178"/>
      <c r="M468" s="186"/>
      <c r="N468" s="178"/>
      <c r="O468" s="186"/>
      <c r="P468" s="178"/>
      <c r="Q468" s="186"/>
      <c r="R468" s="178"/>
      <c r="S468" s="186"/>
      <c r="T468" s="178"/>
      <c r="U468" s="186"/>
      <c r="V468" s="178"/>
      <c r="W468" s="186"/>
      <c r="X468" s="178"/>
      <c r="Y468" s="186"/>
      <c r="Z468" s="178"/>
      <c r="AA468" s="186"/>
      <c r="AB468" s="178"/>
      <c r="AC468" s="186"/>
      <c r="AD468" s="178"/>
      <c r="AE468" s="186"/>
      <c r="AF468" s="178"/>
      <c r="AG468" s="186"/>
      <c r="AH468" s="178"/>
      <c r="AI468" s="186"/>
      <c r="AJ468" s="178"/>
      <c r="AK468" s="186"/>
      <c r="AL468" s="178"/>
      <c r="AM468" s="186"/>
      <c r="AN468" s="178"/>
      <c r="AO468" s="186"/>
      <c r="AP468" s="178"/>
      <c r="AQ468" s="186"/>
      <c r="AR468" s="178"/>
      <c r="AS468" s="186"/>
      <c r="AT468" s="178"/>
      <c r="AU468" s="186"/>
      <c r="AV468" s="178"/>
      <c r="AW468" s="186"/>
      <c r="AX468" s="178"/>
      <c r="AY468" s="186"/>
      <c r="AZ468" s="178"/>
      <c r="BA468" s="186"/>
      <c r="BB468" s="178"/>
      <c r="BC468" s="186"/>
      <c r="BD468" s="178"/>
      <c r="BE468" s="186"/>
      <c r="BF468" s="178"/>
      <c r="BG468" s="186"/>
      <c r="BH468" s="178"/>
      <c r="BI468" s="186"/>
      <c r="BJ468" s="178"/>
      <c r="BK468" s="186"/>
      <c r="BL468" s="178"/>
      <c r="BM468" s="186"/>
      <c r="BN468" s="178"/>
      <c r="BO468" s="186"/>
      <c r="BP468" s="178"/>
      <c r="BQ468" s="186"/>
      <c r="BR468" s="178"/>
      <c r="BS468" s="186"/>
      <c r="BT468" s="178"/>
      <c r="BU468" s="186"/>
      <c r="BV468" s="178"/>
      <c r="BW468" s="186"/>
      <c r="BX468" s="178"/>
      <c r="BY468" s="186"/>
      <c r="BZ468" s="178"/>
      <c r="CA468" s="186"/>
      <c r="CB468" s="178"/>
      <c r="CC468" s="186"/>
      <c r="CD468" s="178"/>
      <c r="CE468" s="186"/>
      <c r="CF468" s="178"/>
      <c r="CG468" s="186"/>
      <c r="CH468" s="178"/>
      <c r="CI468" s="186"/>
      <c r="CJ468" s="178"/>
      <c r="CK468" s="186"/>
      <c r="CL468" s="178"/>
      <c r="CM468" s="186"/>
      <c r="CN468" s="178"/>
      <c r="CO468" s="186"/>
      <c r="CP468" s="178"/>
      <c r="CQ468" s="186"/>
      <c r="CR468" s="178"/>
      <c r="CS468" s="186"/>
      <c r="CT468" s="178"/>
      <c r="CU468" s="186"/>
      <c r="CV468" s="178"/>
      <c r="CW468" s="186"/>
      <c r="CX468" s="178"/>
      <c r="CY468" s="186"/>
      <c r="CZ468" s="178"/>
      <c r="DA468" s="186"/>
      <c r="DB468" s="178"/>
      <c r="DC468" s="186"/>
      <c r="DD468" s="178"/>
      <c r="DE468" s="186"/>
      <c r="DF468" s="178"/>
      <c r="DG468" s="186"/>
      <c r="DH468" s="178"/>
      <c r="DI468" s="186"/>
      <c r="DJ468" s="178"/>
      <c r="DK468" s="186"/>
      <c r="DL468" s="178"/>
      <c r="DM468" s="186"/>
      <c r="DN468" s="178"/>
      <c r="DO468" s="186"/>
      <c r="DP468" s="178"/>
      <c r="DQ468" s="186"/>
      <c r="DR468" s="178"/>
      <c r="DS468" s="186"/>
      <c r="DT468" s="178"/>
      <c r="DU468" s="186"/>
      <c r="DV468" s="178"/>
      <c r="DW468" s="186"/>
      <c r="DX468" s="178"/>
      <c r="DY468" s="186"/>
      <c r="DZ468" s="178"/>
      <c r="EA468" s="186"/>
      <c r="EB468" s="178"/>
      <c r="EC468" s="186"/>
      <c r="ED468" s="178"/>
      <c r="EE468" s="186"/>
      <c r="EF468" s="178"/>
      <c r="EG468" s="186"/>
      <c r="EH468" s="178"/>
      <c r="EI468" s="186"/>
      <c r="EJ468" s="178"/>
      <c r="EK468" s="186"/>
      <c r="EL468" s="178"/>
      <c r="EM468" s="186"/>
      <c r="EN468" s="178"/>
      <c r="EO468" s="186"/>
      <c r="EP468" s="178"/>
      <c r="EQ468" s="186"/>
      <c r="ER468" s="178"/>
      <c r="ES468" s="186"/>
      <c r="ET468" s="178"/>
      <c r="EU468" s="186"/>
      <c r="EV468" s="178"/>
      <c r="EW468" s="186"/>
      <c r="EX468" s="178"/>
      <c r="EY468" s="186"/>
      <c r="EZ468" s="178"/>
      <c r="FA468" s="186"/>
      <c r="FB468" s="178"/>
      <c r="FC468" s="186"/>
      <c r="FD468" s="178"/>
      <c r="FE468" s="186"/>
      <c r="FF468" s="178"/>
      <c r="FG468" s="186"/>
      <c r="FH468" s="178"/>
      <c r="FI468" s="186"/>
      <c r="FJ468" s="178"/>
      <c r="FK468" s="186"/>
      <c r="FL468" s="178"/>
      <c r="FM468" s="186"/>
      <c r="FN468" s="178"/>
      <c r="FO468" s="186"/>
      <c r="FP468" s="178"/>
      <c r="FQ468" s="186"/>
      <c r="FR468" s="178"/>
      <c r="FS468" s="186"/>
      <c r="FT468" s="178"/>
      <c r="FU468" s="186"/>
      <c r="FV468" s="178"/>
      <c r="FW468" s="186"/>
      <c r="FX468" s="178"/>
      <c r="FY468" s="186"/>
      <c r="FZ468" s="178"/>
      <c r="GA468" s="186"/>
      <c r="GB468" s="178"/>
      <c r="GC468" s="186"/>
      <c r="GD468" s="178"/>
      <c r="GE468" s="186"/>
      <c r="GF468" s="178"/>
      <c r="GG468" s="186"/>
      <c r="GH468" s="178"/>
      <c r="GI468" s="186"/>
      <c r="GJ468" s="178"/>
      <c r="GK468" s="186"/>
      <c r="GL468" s="178"/>
      <c r="GM468" s="186"/>
      <c r="GN468" s="178"/>
      <c r="GO468" s="186"/>
      <c r="GP468" s="178"/>
      <c r="GQ468" s="186"/>
      <c r="GR468" s="178"/>
      <c r="GS468" s="186"/>
      <c r="GT468" s="178"/>
      <c r="GU468" s="186"/>
      <c r="GV468" s="178"/>
      <c r="GW468" s="186"/>
      <c r="GX468" s="178"/>
      <c r="GY468" s="186"/>
      <c r="GZ468" s="178"/>
      <c r="HA468" s="186"/>
      <c r="HB468" s="178"/>
      <c r="HC468" s="186"/>
      <c r="HD468" s="178"/>
      <c r="HE468" s="186"/>
      <c r="HF468" s="178"/>
      <c r="HG468" s="186"/>
      <c r="HH468" s="178"/>
      <c r="HI468" s="186"/>
      <c r="HJ468" s="178"/>
      <c r="HK468" s="186"/>
      <c r="HL468" s="178"/>
      <c r="HM468" s="186"/>
      <c r="HN468" s="178"/>
      <c r="HO468" s="186"/>
      <c r="HP468" s="178"/>
      <c r="HQ468" s="186"/>
      <c r="HR468" s="178"/>
      <c r="HS468" s="186"/>
      <c r="HT468" s="178"/>
      <c r="HU468" s="186"/>
      <c r="HV468" s="178"/>
      <c r="HW468" s="186"/>
      <c r="HX468" s="178"/>
      <c r="HY468" s="186"/>
      <c r="HZ468" s="178"/>
      <c r="IA468" s="186"/>
      <c r="IB468" s="178"/>
      <c r="IC468" s="186"/>
      <c r="ID468" s="178"/>
      <c r="IE468" s="186"/>
      <c r="IF468" s="178"/>
      <c r="IG468" s="186"/>
      <c r="IH468" s="178"/>
      <c r="II468" s="186"/>
      <c r="IJ468" s="178"/>
      <c r="IK468" s="186"/>
      <c r="IL468" s="178"/>
      <c r="IM468" s="186"/>
      <c r="IN468" s="178"/>
      <c r="IO468" s="186"/>
      <c r="IP468" s="178"/>
      <c r="IQ468" s="186"/>
      <c r="IR468" s="178"/>
      <c r="IS468" s="186"/>
      <c r="IT468" s="178"/>
      <c r="IU468" s="186"/>
      <c r="IV468" s="178"/>
    </row>
    <row r="469" spans="1:256" ht="15.75">
      <c r="A469" s="206" t="s">
        <v>1192</v>
      </c>
      <c r="B469" s="207" t="str">
        <f>IF('06_GPRS_GSM'!G24="","None Entered",IF('06_GPRS_GSM'!G24="none","None Entered",IF('06_GPRS_GSM'!G24="No default value","None Entered",IF('06_GPRS_GSM'!G24="No default values","None Entered",'06_GPRS_GSM'!G24))))</f>
        <v>None Entered</v>
      </c>
      <c r="C469" s="198" t="s">
        <v>745</v>
      </c>
      <c r="D469" s="199" t="s">
        <v>1187</v>
      </c>
      <c r="E469" s="131" t="s">
        <v>596</v>
      </c>
      <c r="F469" s="113" t="str">
        <f t="shared" si="4"/>
        <v>BytesPerData=1|ByteSwap=TRUE|StartByte=1490|IfDataIsNullDisplay=None Entered</v>
      </c>
      <c r="G469" s="141"/>
      <c r="H469" s="221">
        <f t="shared" si="5"/>
        <v>1490</v>
      </c>
      <c r="I469" s="186"/>
      <c r="J469" s="178"/>
      <c r="K469" s="186"/>
      <c r="L469" s="178"/>
      <c r="M469" s="186"/>
      <c r="N469" s="178"/>
      <c r="O469" s="186"/>
      <c r="P469" s="178"/>
      <c r="Q469" s="186"/>
      <c r="R469" s="178"/>
      <c r="S469" s="186"/>
      <c r="T469" s="178"/>
      <c r="U469" s="186"/>
      <c r="V469" s="178"/>
      <c r="W469" s="186"/>
      <c r="X469" s="178"/>
      <c r="Y469" s="186"/>
      <c r="Z469" s="178"/>
      <c r="AA469" s="186"/>
      <c r="AB469" s="178"/>
      <c r="AC469" s="186"/>
      <c r="AD469" s="178"/>
      <c r="AE469" s="186"/>
      <c r="AF469" s="178"/>
      <c r="AG469" s="186"/>
      <c r="AH469" s="178"/>
      <c r="AI469" s="186"/>
      <c r="AJ469" s="178"/>
      <c r="AK469" s="186"/>
      <c r="AL469" s="178"/>
      <c r="AM469" s="186"/>
      <c r="AN469" s="178"/>
      <c r="AO469" s="186"/>
      <c r="AP469" s="178"/>
      <c r="AQ469" s="186"/>
      <c r="AR469" s="178"/>
      <c r="AS469" s="186"/>
      <c r="AT469" s="178"/>
      <c r="AU469" s="186"/>
      <c r="AV469" s="178"/>
      <c r="AW469" s="186"/>
      <c r="AX469" s="178"/>
      <c r="AY469" s="186"/>
      <c r="AZ469" s="178"/>
      <c r="BA469" s="186"/>
      <c r="BB469" s="178"/>
      <c r="BC469" s="186"/>
      <c r="BD469" s="178"/>
      <c r="BE469" s="186"/>
      <c r="BF469" s="178"/>
      <c r="BG469" s="186"/>
      <c r="BH469" s="178"/>
      <c r="BI469" s="186"/>
      <c r="BJ469" s="178"/>
      <c r="BK469" s="186"/>
      <c r="BL469" s="178"/>
      <c r="BM469" s="186"/>
      <c r="BN469" s="178"/>
      <c r="BO469" s="186"/>
      <c r="BP469" s="178"/>
      <c r="BQ469" s="186"/>
      <c r="BR469" s="178"/>
      <c r="BS469" s="186"/>
      <c r="BT469" s="178"/>
      <c r="BU469" s="186"/>
      <c r="BV469" s="178"/>
      <c r="BW469" s="186"/>
      <c r="BX469" s="178"/>
      <c r="BY469" s="186"/>
      <c r="BZ469" s="178"/>
      <c r="CA469" s="186"/>
      <c r="CB469" s="178"/>
      <c r="CC469" s="186"/>
      <c r="CD469" s="178"/>
      <c r="CE469" s="186"/>
      <c r="CF469" s="178"/>
      <c r="CG469" s="186"/>
      <c r="CH469" s="178"/>
      <c r="CI469" s="186"/>
      <c r="CJ469" s="178"/>
      <c r="CK469" s="186"/>
      <c r="CL469" s="178"/>
      <c r="CM469" s="186"/>
      <c r="CN469" s="178"/>
      <c r="CO469" s="186"/>
      <c r="CP469" s="178"/>
      <c r="CQ469" s="186"/>
      <c r="CR469" s="178"/>
      <c r="CS469" s="186"/>
      <c r="CT469" s="178"/>
      <c r="CU469" s="186"/>
      <c r="CV469" s="178"/>
      <c r="CW469" s="186"/>
      <c r="CX469" s="178"/>
      <c r="CY469" s="186"/>
      <c r="CZ469" s="178"/>
      <c r="DA469" s="186"/>
      <c r="DB469" s="178"/>
      <c r="DC469" s="186"/>
      <c r="DD469" s="178"/>
      <c r="DE469" s="186"/>
      <c r="DF469" s="178"/>
      <c r="DG469" s="186"/>
      <c r="DH469" s="178"/>
      <c r="DI469" s="186"/>
      <c r="DJ469" s="178"/>
      <c r="DK469" s="186"/>
      <c r="DL469" s="178"/>
      <c r="DM469" s="186"/>
      <c r="DN469" s="178"/>
      <c r="DO469" s="186"/>
      <c r="DP469" s="178"/>
      <c r="DQ469" s="186"/>
      <c r="DR469" s="178"/>
      <c r="DS469" s="186"/>
      <c r="DT469" s="178"/>
      <c r="DU469" s="186"/>
      <c r="DV469" s="178"/>
      <c r="DW469" s="186"/>
      <c r="DX469" s="178"/>
      <c r="DY469" s="186"/>
      <c r="DZ469" s="178"/>
      <c r="EA469" s="186"/>
      <c r="EB469" s="178"/>
      <c r="EC469" s="186"/>
      <c r="ED469" s="178"/>
      <c r="EE469" s="186"/>
      <c r="EF469" s="178"/>
      <c r="EG469" s="186"/>
      <c r="EH469" s="178"/>
      <c r="EI469" s="186"/>
      <c r="EJ469" s="178"/>
      <c r="EK469" s="186"/>
      <c r="EL469" s="178"/>
      <c r="EM469" s="186"/>
      <c r="EN469" s="178"/>
      <c r="EO469" s="186"/>
      <c r="EP469" s="178"/>
      <c r="EQ469" s="186"/>
      <c r="ER469" s="178"/>
      <c r="ES469" s="186"/>
      <c r="ET469" s="178"/>
      <c r="EU469" s="186"/>
      <c r="EV469" s="178"/>
      <c r="EW469" s="186"/>
      <c r="EX469" s="178"/>
      <c r="EY469" s="186"/>
      <c r="EZ469" s="178"/>
      <c r="FA469" s="186"/>
      <c r="FB469" s="178"/>
      <c r="FC469" s="186"/>
      <c r="FD469" s="178"/>
      <c r="FE469" s="186"/>
      <c r="FF469" s="178"/>
      <c r="FG469" s="186"/>
      <c r="FH469" s="178"/>
      <c r="FI469" s="186"/>
      <c r="FJ469" s="178"/>
      <c r="FK469" s="186"/>
      <c r="FL469" s="178"/>
      <c r="FM469" s="186"/>
      <c r="FN469" s="178"/>
      <c r="FO469" s="186"/>
      <c r="FP469" s="178"/>
      <c r="FQ469" s="186"/>
      <c r="FR469" s="178"/>
      <c r="FS469" s="186"/>
      <c r="FT469" s="178"/>
      <c r="FU469" s="186"/>
      <c r="FV469" s="178"/>
      <c r="FW469" s="186"/>
      <c r="FX469" s="178"/>
      <c r="FY469" s="186"/>
      <c r="FZ469" s="178"/>
      <c r="GA469" s="186"/>
      <c r="GB469" s="178"/>
      <c r="GC469" s="186"/>
      <c r="GD469" s="178"/>
      <c r="GE469" s="186"/>
      <c r="GF469" s="178"/>
      <c r="GG469" s="186"/>
      <c r="GH469" s="178"/>
      <c r="GI469" s="186"/>
      <c r="GJ469" s="178"/>
      <c r="GK469" s="186"/>
      <c r="GL469" s="178"/>
      <c r="GM469" s="186"/>
      <c r="GN469" s="178"/>
      <c r="GO469" s="186"/>
      <c r="GP469" s="178"/>
      <c r="GQ469" s="186"/>
      <c r="GR469" s="178"/>
      <c r="GS469" s="186"/>
      <c r="GT469" s="178"/>
      <c r="GU469" s="186"/>
      <c r="GV469" s="178"/>
      <c r="GW469" s="186"/>
      <c r="GX469" s="178"/>
      <c r="GY469" s="186"/>
      <c r="GZ469" s="178"/>
      <c r="HA469" s="186"/>
      <c r="HB469" s="178"/>
      <c r="HC469" s="186"/>
      <c r="HD469" s="178"/>
      <c r="HE469" s="186"/>
      <c r="HF469" s="178"/>
      <c r="HG469" s="186"/>
      <c r="HH469" s="178"/>
      <c r="HI469" s="186"/>
      <c r="HJ469" s="178"/>
      <c r="HK469" s="186"/>
      <c r="HL469" s="178"/>
      <c r="HM469" s="186"/>
      <c r="HN469" s="178"/>
      <c r="HO469" s="186"/>
      <c r="HP469" s="178"/>
      <c r="HQ469" s="186"/>
      <c r="HR469" s="178"/>
      <c r="HS469" s="186"/>
      <c r="HT469" s="178"/>
      <c r="HU469" s="186"/>
      <c r="HV469" s="178"/>
      <c r="HW469" s="186"/>
      <c r="HX469" s="178"/>
      <c r="HY469" s="186"/>
      <c r="HZ469" s="178"/>
      <c r="IA469" s="186"/>
      <c r="IB469" s="178"/>
      <c r="IC469" s="186"/>
      <c r="ID469" s="178"/>
      <c r="IE469" s="186"/>
      <c r="IF469" s="178"/>
      <c r="IG469" s="186"/>
      <c r="IH469" s="178"/>
      <c r="II469" s="186"/>
      <c r="IJ469" s="178"/>
      <c r="IK469" s="186"/>
      <c r="IL469" s="178"/>
      <c r="IM469" s="186"/>
      <c r="IN469" s="178"/>
      <c r="IO469" s="186"/>
      <c r="IP469" s="178"/>
      <c r="IQ469" s="186"/>
      <c r="IR469" s="178"/>
      <c r="IS469" s="186"/>
      <c r="IT469" s="178"/>
      <c r="IU469" s="186"/>
      <c r="IV469" s="178"/>
    </row>
    <row r="470" spans="1:256" ht="15.75">
      <c r="A470" s="206" t="s">
        <v>1193</v>
      </c>
      <c r="B470" s="207" t="str">
        <f>IF('06_GPRS_GSM'!G25="","None Entered",IF('06_GPRS_GSM'!G25="none","None Entered",IF('06_GPRS_GSM'!G25="No default value","None Entered",IF('06_GPRS_GSM'!G25="No default values","None Entered",'06_GPRS_GSM'!G25))))</f>
        <v>None Entered</v>
      </c>
      <c r="C470" s="198" t="s">
        <v>745</v>
      </c>
      <c r="D470" s="199" t="s">
        <v>1187</v>
      </c>
      <c r="E470" s="131" t="s">
        <v>596</v>
      </c>
      <c r="F470" s="113" t="str">
        <f t="shared" si="3"/>
        <v>BytesPerData=2|ByteSwap=TRUE|StartByte=1839|IfDataIsNullDisplay=None Entered</v>
      </c>
      <c r="G470" s="141"/>
      <c r="H470" s="221">
        <f t="shared" si="5"/>
        <v>1839</v>
      </c>
      <c r="I470" s="186"/>
      <c r="J470" s="178"/>
      <c r="K470" s="186"/>
      <c r="L470" s="178"/>
      <c r="M470" s="186"/>
      <c r="N470" s="178"/>
      <c r="O470" s="186"/>
      <c r="P470" s="178"/>
      <c r="Q470" s="186"/>
      <c r="R470" s="178"/>
      <c r="S470" s="186"/>
      <c r="T470" s="178"/>
      <c r="U470" s="186"/>
      <c r="V470" s="178"/>
      <c r="W470" s="186"/>
      <c r="X470" s="178"/>
      <c r="Y470" s="186"/>
      <c r="Z470" s="178"/>
      <c r="AA470" s="186"/>
      <c r="AB470" s="178"/>
      <c r="AC470" s="186"/>
      <c r="AD470" s="178"/>
      <c r="AE470" s="186"/>
      <c r="AF470" s="178"/>
      <c r="AG470" s="186"/>
      <c r="AH470" s="178"/>
      <c r="AI470" s="186"/>
      <c r="AJ470" s="178"/>
      <c r="AK470" s="186"/>
      <c r="AL470" s="178"/>
      <c r="AM470" s="186"/>
      <c r="AN470" s="178"/>
      <c r="AO470" s="186"/>
      <c r="AP470" s="178"/>
      <c r="AQ470" s="186"/>
      <c r="AR470" s="178"/>
      <c r="AS470" s="186"/>
      <c r="AT470" s="178"/>
      <c r="AU470" s="186"/>
      <c r="AV470" s="178"/>
      <c r="AW470" s="186"/>
      <c r="AX470" s="178"/>
      <c r="AY470" s="186"/>
      <c r="AZ470" s="178"/>
      <c r="BA470" s="186"/>
      <c r="BB470" s="178"/>
      <c r="BC470" s="186"/>
      <c r="BD470" s="178"/>
      <c r="BE470" s="186"/>
      <c r="BF470" s="178"/>
      <c r="BG470" s="186"/>
      <c r="BH470" s="178"/>
      <c r="BI470" s="186"/>
      <c r="BJ470" s="178"/>
      <c r="BK470" s="186"/>
      <c r="BL470" s="178"/>
      <c r="BM470" s="186"/>
      <c r="BN470" s="178"/>
      <c r="BO470" s="186"/>
      <c r="BP470" s="178"/>
      <c r="BQ470" s="186"/>
      <c r="BR470" s="178"/>
      <c r="BS470" s="186"/>
      <c r="BT470" s="178"/>
      <c r="BU470" s="186"/>
      <c r="BV470" s="178"/>
      <c r="BW470" s="186"/>
      <c r="BX470" s="178"/>
      <c r="BY470" s="186"/>
      <c r="BZ470" s="178"/>
      <c r="CA470" s="186"/>
      <c r="CB470" s="178"/>
      <c r="CC470" s="186"/>
      <c r="CD470" s="178"/>
      <c r="CE470" s="186"/>
      <c r="CF470" s="178"/>
      <c r="CG470" s="186"/>
      <c r="CH470" s="178"/>
      <c r="CI470" s="186"/>
      <c r="CJ470" s="178"/>
      <c r="CK470" s="186"/>
      <c r="CL470" s="178"/>
      <c r="CM470" s="186"/>
      <c r="CN470" s="178"/>
      <c r="CO470" s="186"/>
      <c r="CP470" s="178"/>
      <c r="CQ470" s="186"/>
      <c r="CR470" s="178"/>
      <c r="CS470" s="186"/>
      <c r="CT470" s="178"/>
      <c r="CU470" s="186"/>
      <c r="CV470" s="178"/>
      <c r="CW470" s="186"/>
      <c r="CX470" s="178"/>
      <c r="CY470" s="186"/>
      <c r="CZ470" s="178"/>
      <c r="DA470" s="186"/>
      <c r="DB470" s="178"/>
      <c r="DC470" s="186"/>
      <c r="DD470" s="178"/>
      <c r="DE470" s="186"/>
      <c r="DF470" s="178"/>
      <c r="DG470" s="186"/>
      <c r="DH470" s="178"/>
      <c r="DI470" s="186"/>
      <c r="DJ470" s="178"/>
      <c r="DK470" s="186"/>
      <c r="DL470" s="178"/>
      <c r="DM470" s="186"/>
      <c r="DN470" s="178"/>
      <c r="DO470" s="186"/>
      <c r="DP470" s="178"/>
      <c r="DQ470" s="186"/>
      <c r="DR470" s="178"/>
      <c r="DS470" s="186"/>
      <c r="DT470" s="178"/>
      <c r="DU470" s="186"/>
      <c r="DV470" s="178"/>
      <c r="DW470" s="186"/>
      <c r="DX470" s="178"/>
      <c r="DY470" s="186"/>
      <c r="DZ470" s="178"/>
      <c r="EA470" s="186"/>
      <c r="EB470" s="178"/>
      <c r="EC470" s="186"/>
      <c r="ED470" s="178"/>
      <c r="EE470" s="186"/>
      <c r="EF470" s="178"/>
      <c r="EG470" s="186"/>
      <c r="EH470" s="178"/>
      <c r="EI470" s="186"/>
      <c r="EJ470" s="178"/>
      <c r="EK470" s="186"/>
      <c r="EL470" s="178"/>
      <c r="EM470" s="186"/>
      <c r="EN470" s="178"/>
      <c r="EO470" s="186"/>
      <c r="EP470" s="178"/>
      <c r="EQ470" s="186"/>
      <c r="ER470" s="178"/>
      <c r="ES470" s="186"/>
      <c r="ET470" s="178"/>
      <c r="EU470" s="186"/>
      <c r="EV470" s="178"/>
      <c r="EW470" s="186"/>
      <c r="EX470" s="178"/>
      <c r="EY470" s="186"/>
      <c r="EZ470" s="178"/>
      <c r="FA470" s="186"/>
      <c r="FB470" s="178"/>
      <c r="FC470" s="186"/>
      <c r="FD470" s="178"/>
      <c r="FE470" s="186"/>
      <c r="FF470" s="178"/>
      <c r="FG470" s="186"/>
      <c r="FH470" s="178"/>
      <c r="FI470" s="186"/>
      <c r="FJ470" s="178"/>
      <c r="FK470" s="186"/>
      <c r="FL470" s="178"/>
      <c r="FM470" s="186"/>
      <c r="FN470" s="178"/>
      <c r="FO470" s="186"/>
      <c r="FP470" s="178"/>
      <c r="FQ470" s="186"/>
      <c r="FR470" s="178"/>
      <c r="FS470" s="186"/>
      <c r="FT470" s="178"/>
      <c r="FU470" s="186"/>
      <c r="FV470" s="178"/>
      <c r="FW470" s="186"/>
      <c r="FX470" s="178"/>
      <c r="FY470" s="186"/>
      <c r="FZ470" s="178"/>
      <c r="GA470" s="186"/>
      <c r="GB470" s="178"/>
      <c r="GC470" s="186"/>
      <c r="GD470" s="178"/>
      <c r="GE470" s="186"/>
      <c r="GF470" s="178"/>
      <c r="GG470" s="186"/>
      <c r="GH470" s="178"/>
      <c r="GI470" s="186"/>
      <c r="GJ470" s="178"/>
      <c r="GK470" s="186"/>
      <c r="GL470" s="178"/>
      <c r="GM470" s="186"/>
      <c r="GN470" s="178"/>
      <c r="GO470" s="186"/>
      <c r="GP470" s="178"/>
      <c r="GQ470" s="186"/>
      <c r="GR470" s="178"/>
      <c r="GS470" s="186"/>
      <c r="GT470" s="178"/>
      <c r="GU470" s="186"/>
      <c r="GV470" s="178"/>
      <c r="GW470" s="186"/>
      <c r="GX470" s="178"/>
      <c r="GY470" s="186"/>
      <c r="GZ470" s="178"/>
      <c r="HA470" s="186"/>
      <c r="HB470" s="178"/>
      <c r="HC470" s="186"/>
      <c r="HD470" s="178"/>
      <c r="HE470" s="186"/>
      <c r="HF470" s="178"/>
      <c r="HG470" s="186"/>
      <c r="HH470" s="178"/>
      <c r="HI470" s="186"/>
      <c r="HJ470" s="178"/>
      <c r="HK470" s="186"/>
      <c r="HL470" s="178"/>
      <c r="HM470" s="186"/>
      <c r="HN470" s="178"/>
      <c r="HO470" s="186"/>
      <c r="HP470" s="178"/>
      <c r="HQ470" s="186"/>
      <c r="HR470" s="178"/>
      <c r="HS470" s="186"/>
      <c r="HT470" s="178"/>
      <c r="HU470" s="186"/>
      <c r="HV470" s="178"/>
      <c r="HW470" s="186"/>
      <c r="HX470" s="178"/>
      <c r="HY470" s="186"/>
      <c r="HZ470" s="178"/>
      <c r="IA470" s="186"/>
      <c r="IB470" s="178"/>
      <c r="IC470" s="186"/>
      <c r="ID470" s="178"/>
      <c r="IE470" s="186"/>
      <c r="IF470" s="178"/>
      <c r="IG470" s="186"/>
      <c r="IH470" s="178"/>
      <c r="II470" s="186"/>
      <c r="IJ470" s="178"/>
      <c r="IK470" s="186"/>
      <c r="IL470" s="178"/>
      <c r="IM470" s="186"/>
      <c r="IN470" s="178"/>
      <c r="IO470" s="186"/>
      <c r="IP470" s="178"/>
      <c r="IQ470" s="186"/>
      <c r="IR470" s="178"/>
      <c r="IS470" s="186"/>
      <c r="IT470" s="178"/>
      <c r="IU470" s="186"/>
      <c r="IV470" s="178"/>
    </row>
    <row r="471" spans="1:8" ht="15.75">
      <c r="A471" s="206" t="s">
        <v>1194</v>
      </c>
      <c r="B471" s="207" t="str">
        <f>IF('06_GPRS_GSM'!G26="","None Entered",IF('06_GPRS_GSM'!G26="none","None Entered",IF('06_GPRS_GSM'!G26="No default value","None Entered",IF('06_GPRS_GSM'!G26="No default values","None Entered",'06_GPRS_GSM'!G26))))</f>
        <v>None Entered</v>
      </c>
      <c r="C471" s="198" t="s">
        <v>745</v>
      </c>
      <c r="D471" s="199" t="s">
        <v>1187</v>
      </c>
      <c r="E471" s="131" t="s">
        <v>596</v>
      </c>
      <c r="F471" s="113" t="str">
        <f t="shared" si="4"/>
        <v>BytesPerData=1|ByteSwap=TRUE|StartByte=1702|IfDataIsNullDisplay=None Entered</v>
      </c>
      <c r="G471" s="141"/>
      <c r="H471" s="221">
        <f t="shared" si="5"/>
        <v>1702</v>
      </c>
    </row>
    <row r="472" spans="1:8" ht="15.75">
      <c r="A472" s="206" t="s">
        <v>1195</v>
      </c>
      <c r="B472" s="207" t="str">
        <f>IF('06_GPRS_GSM'!G27="","None Entered",IF('06_GPRS_GSM'!G27="none","None Entered",IF('06_GPRS_GSM'!G27="No default value","None Entered",IF('06_GPRS_GSM'!G27="No default values","None Entered",'06_GPRS_GSM'!G27))))</f>
        <v>None Entered</v>
      </c>
      <c r="C472" s="198" t="s">
        <v>745</v>
      </c>
      <c r="D472" s="199" t="s">
        <v>1187</v>
      </c>
      <c r="E472" s="131" t="s">
        <v>596</v>
      </c>
      <c r="F472" s="113" t="str">
        <f t="shared" si="3"/>
        <v>BytesPerData=2|ByteSwap=TRUE|StartByte=2051|IfDataIsNullDisplay=None Entered</v>
      </c>
      <c r="G472" s="141"/>
      <c r="H472" s="221">
        <f t="shared" si="5"/>
        <v>2051</v>
      </c>
    </row>
    <row r="473" spans="1:8" ht="15.75">
      <c r="A473" s="206" t="s">
        <v>1196</v>
      </c>
      <c r="B473" s="207" t="str">
        <f>IF('06_GPRS_GSM'!G28="","None Entered",IF('06_GPRS_GSM'!G28="none","None Entered",IF('06_GPRS_GSM'!G28="No default value","None Entered",IF('06_GPRS_GSM'!G28="No default values","None Entered",'06_GPRS_GSM'!G28))))</f>
        <v>None Entered</v>
      </c>
      <c r="C473" s="198" t="s">
        <v>745</v>
      </c>
      <c r="D473" s="199" t="s">
        <v>1187</v>
      </c>
      <c r="E473" s="131" t="s">
        <v>596</v>
      </c>
      <c r="F473" s="113" t="str">
        <f t="shared" si="4"/>
        <v>BytesPerData=1|ByteSwap=TRUE|StartByte=1914|IfDataIsNullDisplay=None Entered</v>
      </c>
      <c r="G473" s="141"/>
      <c r="H473" s="221">
        <f t="shared" si="5"/>
        <v>1914</v>
      </c>
    </row>
    <row r="474" spans="1:8" ht="15.75">
      <c r="A474" s="206" t="s">
        <v>525</v>
      </c>
      <c r="B474" s="207" t="str">
        <f>IF('06_GPRS_GSM'!G29="","None Entered",IF('06_GPRS_GSM'!G29="none","None Entered",IF('06_GPRS_GSM'!G29="No default value","None Entered",IF('06_GPRS_GSM'!G29="No default values","None Entered",'06_GPRS_GSM'!G29))))</f>
        <v>None Entered</v>
      </c>
      <c r="C474" s="198" t="s">
        <v>745</v>
      </c>
      <c r="D474" s="199" t="s">
        <v>1187</v>
      </c>
      <c r="E474" s="131" t="s">
        <v>596</v>
      </c>
      <c r="F474" s="113" t="str">
        <f t="shared" si="3"/>
        <v>BytesPerData=2|ByteSwap=TRUE|StartByte=2263|IfDataIsNullDisplay=None Entered</v>
      </c>
      <c r="H474" s="221">
        <f t="shared" si="5"/>
        <v>2263</v>
      </c>
    </row>
    <row r="475" spans="1:8" ht="15.75">
      <c r="A475" s="206" t="s">
        <v>526</v>
      </c>
      <c r="B475" s="207" t="str">
        <f>IF('06_GPRS_GSM'!G30="","None Entered",IF('06_GPRS_GSM'!G30="none","None Entered",IF('06_GPRS_GSM'!G30="No default value","None Entered",IF('06_GPRS_GSM'!G30="No default values","None Entered",'06_GPRS_GSM'!G30))))</f>
        <v>None Entered</v>
      </c>
      <c r="C475" s="198" t="s">
        <v>745</v>
      </c>
      <c r="D475" s="199" t="s">
        <v>1187</v>
      </c>
      <c r="E475" s="131" t="s">
        <v>596</v>
      </c>
      <c r="F475" s="113" t="str">
        <f t="shared" si="4"/>
        <v>BytesPerData=1|ByteSwap=TRUE|StartByte=2126|IfDataIsNullDisplay=None Entered</v>
      </c>
      <c r="H475" s="221">
        <f t="shared" si="5"/>
        <v>2126</v>
      </c>
    </row>
    <row r="476" spans="1:8" ht="15.75">
      <c r="A476" s="206" t="s">
        <v>527</v>
      </c>
      <c r="B476" s="207" t="str">
        <f>IF('06_GPRS_GSM'!G31="","None Entered",IF('06_GPRS_GSM'!G31="none","None Entered",IF('06_GPRS_GSM'!G31="No default value","None Entered",IF('06_GPRS_GSM'!G31="No default values","None Entered",'06_GPRS_GSM'!G31))))</f>
        <v>None Entered</v>
      </c>
      <c r="C476" s="198" t="s">
        <v>745</v>
      </c>
      <c r="D476" s="199" t="s">
        <v>1187</v>
      </c>
      <c r="E476" s="131" t="s">
        <v>596</v>
      </c>
      <c r="F476" s="113" t="str">
        <f t="shared" si="3"/>
        <v>BytesPerData=2|ByteSwap=TRUE|StartByte=2475|IfDataIsNullDisplay=None Entered</v>
      </c>
      <c r="H476" s="221">
        <f t="shared" si="5"/>
        <v>2475</v>
      </c>
    </row>
    <row r="477" spans="1:8" ht="15.75">
      <c r="A477" s="206" t="s">
        <v>528</v>
      </c>
      <c r="B477" s="207" t="str">
        <f>IF('06_GPRS_GSM'!G32="","None Entered",IF('06_GPRS_GSM'!G32="none","None Entered",IF('06_GPRS_GSM'!G32="No default value","None Entered",IF('06_GPRS_GSM'!G32="No default values","None Entered",'06_GPRS_GSM'!G32))))</f>
        <v>None Entered</v>
      </c>
      <c r="C477" s="198" t="s">
        <v>745</v>
      </c>
      <c r="D477" s="199" t="s">
        <v>1187</v>
      </c>
      <c r="E477" s="131" t="s">
        <v>596</v>
      </c>
      <c r="F477" s="113" t="str">
        <f t="shared" si="4"/>
        <v>BytesPerData=1|ByteSwap=TRUE|StartByte=2338|IfDataIsNullDisplay=None Entered</v>
      </c>
      <c r="H477" s="221">
        <f t="shared" si="5"/>
        <v>2338</v>
      </c>
    </row>
    <row r="478" spans="1:8" ht="15.75">
      <c r="A478" s="206" t="s">
        <v>529</v>
      </c>
      <c r="B478" s="207" t="str">
        <f>IF('06_GPRS_GSM'!G33="","None Entered",IF('06_GPRS_GSM'!G33="none","None Entered",IF('06_GPRS_GSM'!G33="No default value","None Entered",IF('06_GPRS_GSM'!G33="No default values","None Entered",'06_GPRS_GSM'!G33))))</f>
        <v>None Entered</v>
      </c>
      <c r="C478" s="198" t="s">
        <v>745</v>
      </c>
      <c r="D478" s="199" t="s">
        <v>1187</v>
      </c>
      <c r="E478" s="131" t="s">
        <v>596</v>
      </c>
      <c r="F478" s="113" t="str">
        <f t="shared" si="3"/>
        <v>BytesPerData=2|ByteSwap=TRUE|StartByte=2687|IfDataIsNullDisplay=None Entered</v>
      </c>
      <c r="H478" s="221">
        <f t="shared" si="5"/>
        <v>2687</v>
      </c>
    </row>
    <row r="479" spans="1:8" ht="15.75">
      <c r="A479" s="206" t="s">
        <v>530</v>
      </c>
      <c r="B479" s="207" t="str">
        <f>IF('06_GPRS_GSM'!G34="","None Entered",IF('06_GPRS_GSM'!G34="none","None Entered",IF('06_GPRS_GSM'!G34="No default value","None Entered",IF('06_GPRS_GSM'!G34="No default values","None Entered",'06_GPRS_GSM'!G34))))</f>
        <v>None Entered</v>
      </c>
      <c r="C479" s="198" t="s">
        <v>745</v>
      </c>
      <c r="D479" s="199" t="s">
        <v>1187</v>
      </c>
      <c r="E479" s="131" t="s">
        <v>596</v>
      </c>
      <c r="F479" s="113" t="str">
        <f t="shared" si="4"/>
        <v>BytesPerData=1|ByteSwap=TRUE|StartByte=2550|IfDataIsNullDisplay=None Entered</v>
      </c>
      <c r="H479" s="221">
        <f t="shared" si="5"/>
        <v>2550</v>
      </c>
    </row>
    <row r="480" spans="1:8" ht="15.75">
      <c r="A480" s="206" t="s">
        <v>531</v>
      </c>
      <c r="B480" s="207" t="str">
        <f>IF('06_GPRS_GSM'!G35="","None Entered",IF('06_GPRS_GSM'!G35="none","None Entered",IF('06_GPRS_GSM'!G35="No default value","None Entered",IF('06_GPRS_GSM'!G35="No default values","None Entered",'06_GPRS_GSM'!G35))))</f>
        <v>None Entered</v>
      </c>
      <c r="C480" s="198" t="s">
        <v>745</v>
      </c>
      <c r="D480" s="199" t="s">
        <v>1187</v>
      </c>
      <c r="E480" s="131" t="s">
        <v>596</v>
      </c>
      <c r="F480" s="113" t="str">
        <f t="shared" si="3"/>
        <v>BytesPerData=2|ByteSwap=TRUE|StartByte=2899|IfDataIsNullDisplay=None Entered</v>
      </c>
      <c r="H480" s="221">
        <f t="shared" si="5"/>
        <v>2899</v>
      </c>
    </row>
    <row r="481" spans="1:8" ht="15.75">
      <c r="A481" s="206" t="s">
        <v>532</v>
      </c>
      <c r="B481" s="207" t="str">
        <f>IF('06_GPRS_GSM'!G36="","None Entered",IF('06_GPRS_GSM'!G36="none","None Entered",IF('06_GPRS_GSM'!G36="No default value","None Entered",IF('06_GPRS_GSM'!G36="No default values","None Entered",'06_GPRS_GSM'!G36))))</f>
        <v>None Entered</v>
      </c>
      <c r="C481" s="198" t="s">
        <v>745</v>
      </c>
      <c r="D481" s="199" t="s">
        <v>1187</v>
      </c>
      <c r="E481" s="131" t="s">
        <v>596</v>
      </c>
      <c r="F481" s="113" t="str">
        <f t="shared" si="4"/>
        <v>BytesPerData=1|ByteSwap=TRUE|StartByte=2762|IfDataIsNullDisplay=None Entered</v>
      </c>
      <c r="H481" s="221">
        <f t="shared" si="5"/>
        <v>2762</v>
      </c>
    </row>
    <row r="482" spans="1:8" ht="15.75">
      <c r="A482" s="206" t="s">
        <v>533</v>
      </c>
      <c r="B482" s="207" t="str">
        <f>IF('06_GPRS_GSM'!G37="","None Entered",IF('06_GPRS_GSM'!G37="none","None Entered",IF('06_GPRS_GSM'!G37="No default value","None Entered",IF('06_GPRS_GSM'!G37="No default values","None Entered",'06_GPRS_GSM'!G37))))</f>
        <v>None Entered</v>
      </c>
      <c r="C482" s="198" t="s">
        <v>745</v>
      </c>
      <c r="D482" s="199" t="s">
        <v>1187</v>
      </c>
      <c r="E482" s="131" t="s">
        <v>596</v>
      </c>
      <c r="F482" s="113" t="str">
        <f>CONCATENATE("BytesPerData=2|ByteSwap=TRUE|StartByte=",H482,"|IfDataIsNullDisplay=None Entered")</f>
        <v>BytesPerData=2|ByteSwap=TRUE|StartByte=3111|IfDataIsNullDisplay=None Entered</v>
      </c>
      <c r="H482" s="221">
        <f t="shared" si="5"/>
        <v>3111</v>
      </c>
    </row>
    <row r="483" spans="1:8" ht="15.75">
      <c r="A483" s="206" t="s">
        <v>534</v>
      </c>
      <c r="B483" s="207" t="str">
        <f>IF('06_GPRS_GSM'!G38="","None Entered",IF('06_GPRS_GSM'!G38="none","None Entered",IF('06_GPRS_GSM'!G38="No default value","None Entered",IF('06_GPRS_GSM'!G38="No default values","None Entered",'06_GPRS_GSM'!G38))))</f>
        <v>None Entered</v>
      </c>
      <c r="C483" s="198" t="s">
        <v>745</v>
      </c>
      <c r="D483" s="199" t="s">
        <v>1187</v>
      </c>
      <c r="E483" s="131" t="s">
        <v>596</v>
      </c>
      <c r="F483" s="113" t="str">
        <f>CONCATENATE("BytesPerData=1|ByteSwap=TRUE|StartByte=",H483,"|IfDataIsNullDisplay=None Entered")</f>
        <v>BytesPerData=1|ByteSwap=TRUE|StartByte=2974|IfDataIsNullDisplay=None Entered</v>
      </c>
      <c r="H483" s="221">
        <f t="shared" si="5"/>
        <v>2974</v>
      </c>
    </row>
    <row r="484" spans="1:8" s="108" customFormat="1" ht="17.25" customHeight="1">
      <c r="A484" s="145" t="s">
        <v>587</v>
      </c>
      <c r="B484" s="145" t="s">
        <v>251</v>
      </c>
      <c r="C484" s="200"/>
      <c r="D484" s="201"/>
      <c r="E484" s="200"/>
      <c r="F484" s="202"/>
      <c r="G484" s="200"/>
      <c r="H484" s="203"/>
    </row>
    <row r="485" spans="1:8" s="108" customFormat="1" ht="17.25" customHeight="1">
      <c r="A485" s="217" t="s">
        <v>252</v>
      </c>
      <c r="B485" s="139" t="s">
        <v>322</v>
      </c>
      <c r="C485" s="151" t="s">
        <v>600</v>
      </c>
      <c r="D485" s="132" t="s">
        <v>235</v>
      </c>
      <c r="E485" s="131" t="s">
        <v>236</v>
      </c>
      <c r="F485" s="130" t="s">
        <v>253</v>
      </c>
      <c r="G485" s="139" t="s">
        <v>254</v>
      </c>
      <c r="H485" s="142"/>
    </row>
    <row r="486" spans="1:8" s="108" customFormat="1" ht="17.25" customHeight="1">
      <c r="A486" s="219" t="s">
        <v>255</v>
      </c>
      <c r="B486" s="139" t="s">
        <v>322</v>
      </c>
      <c r="C486" s="151" t="s">
        <v>600</v>
      </c>
      <c r="D486" s="132" t="s">
        <v>235</v>
      </c>
      <c r="E486" s="131" t="s">
        <v>236</v>
      </c>
      <c r="F486" s="130" t="s">
        <v>256</v>
      </c>
      <c r="G486" s="139" t="s">
        <v>257</v>
      </c>
      <c r="H486" s="141"/>
    </row>
    <row r="487" spans="1:8" s="108" customFormat="1" ht="16.5">
      <c r="A487" s="219" t="s">
        <v>258</v>
      </c>
      <c r="B487" s="139" t="s">
        <v>322</v>
      </c>
      <c r="C487" s="151" t="s">
        <v>600</v>
      </c>
      <c r="D487" s="132" t="s">
        <v>235</v>
      </c>
      <c r="E487" s="131" t="s">
        <v>236</v>
      </c>
      <c r="F487" s="130" t="s">
        <v>259</v>
      </c>
      <c r="G487" s="139" t="s">
        <v>260</v>
      </c>
      <c r="H487" s="141"/>
    </row>
    <row r="488" spans="1:12" s="108" customFormat="1" ht="16.5">
      <c r="A488" s="220" t="s">
        <v>261</v>
      </c>
      <c r="B488" s="139" t="s">
        <v>322</v>
      </c>
      <c r="C488" s="151" t="s">
        <v>600</v>
      </c>
      <c r="D488" s="132" t="s">
        <v>235</v>
      </c>
      <c r="E488" s="131" t="s">
        <v>236</v>
      </c>
      <c r="F488" s="130" t="s">
        <v>262</v>
      </c>
      <c r="G488" s="139" t="s">
        <v>263</v>
      </c>
      <c r="H488" s="218"/>
      <c r="I488" s="218"/>
      <c r="J488" s="218"/>
      <c r="K488" s="218"/>
      <c r="L488" s="218"/>
    </row>
    <row r="495" ht="16.5">
      <c r="B495" s="120" t="s">
        <v>703</v>
      </c>
    </row>
    <row r="496" ht="15.75">
      <c r="B496" s="109" t="s">
        <v>805</v>
      </c>
    </row>
    <row r="497" ht="15.75">
      <c r="B497" s="109" t="s">
        <v>604</v>
      </c>
    </row>
    <row r="498" ht="15.75">
      <c r="B498" s="109" t="s">
        <v>806</v>
      </c>
    </row>
    <row r="499" ht="15.75">
      <c r="B499" s="109" t="s">
        <v>1569</v>
      </c>
    </row>
    <row r="500" ht="15.75">
      <c r="B500" s="109" t="s">
        <v>236</v>
      </c>
    </row>
    <row r="501" ht="15.75">
      <c r="B501" s="109" t="s">
        <v>607</v>
      </c>
    </row>
    <row r="502" ht="15.75">
      <c r="B502" s="107" t="s">
        <v>615</v>
      </c>
    </row>
    <row r="503" ht="15.75">
      <c r="B503" s="106" t="s">
        <v>1570</v>
      </c>
    </row>
    <row r="504" ht="15.75">
      <c r="B504" s="109" t="s">
        <v>1571</v>
      </c>
    </row>
    <row r="505" ht="15.75">
      <c r="B505" s="109" t="s">
        <v>1572</v>
      </c>
    </row>
    <row r="506" ht="15.75">
      <c r="B506" s="109" t="s">
        <v>1573</v>
      </c>
    </row>
    <row r="507" spans="1:2" ht="16.5">
      <c r="A507" s="121" t="s">
        <v>744</v>
      </c>
      <c r="B507" s="109" t="s">
        <v>596</v>
      </c>
    </row>
    <row r="508" spans="1:2" ht="15.75">
      <c r="A508" s="107" t="s">
        <v>745</v>
      </c>
      <c r="B508" s="109" t="s">
        <v>746</v>
      </c>
    </row>
    <row r="509" spans="1:2" ht="15.75">
      <c r="A509" s="107" t="s">
        <v>600</v>
      </c>
      <c r="B509" s="109" t="s">
        <v>84</v>
      </c>
    </row>
    <row r="510" spans="1:2" ht="15.75">
      <c r="A510" s="107" t="s">
        <v>747</v>
      </c>
      <c r="B510" s="109" t="s">
        <v>748</v>
      </c>
    </row>
    <row r="511" spans="1:2" ht="15.75">
      <c r="A511" s="107" t="s">
        <v>588</v>
      </c>
      <c r="B511" s="109" t="s">
        <v>749</v>
      </c>
    </row>
    <row r="512" ht="15.75">
      <c r="B512" s="109" t="s">
        <v>1073</v>
      </c>
    </row>
    <row r="515" spans="1:6" ht="26.25">
      <c r="A515" t="s">
        <v>1075</v>
      </c>
      <c r="B515" t="s">
        <v>1082</v>
      </c>
      <c r="C515" t="s">
        <v>1091</v>
      </c>
      <c r="D515" t="s">
        <v>1105</v>
      </c>
      <c r="E515" s="204" t="s">
        <v>278</v>
      </c>
      <c r="F515" s="214" t="s">
        <v>957</v>
      </c>
    </row>
    <row r="516" spans="1:6" ht="26.25">
      <c r="A516" t="s">
        <v>1076</v>
      </c>
      <c r="B516" t="s">
        <v>1083</v>
      </c>
      <c r="C516" t="s">
        <v>1092</v>
      </c>
      <c r="D516" t="s">
        <v>1106</v>
      </c>
      <c r="E516" s="204" t="s">
        <v>279</v>
      </c>
      <c r="F516" s="214" t="s">
        <v>958</v>
      </c>
    </row>
    <row r="517" spans="1:6" ht="26.25">
      <c r="A517" t="s">
        <v>590</v>
      </c>
      <c r="B517" t="s">
        <v>1084</v>
      </c>
      <c r="C517" t="s">
        <v>1093</v>
      </c>
      <c r="D517" t="s">
        <v>1107</v>
      </c>
      <c r="E517" s="204" t="s">
        <v>280</v>
      </c>
      <c r="F517" s="214" t="s">
        <v>959</v>
      </c>
    </row>
    <row r="518" spans="1:6" ht="26.25">
      <c r="A518" t="s">
        <v>1077</v>
      </c>
      <c r="B518" t="s">
        <v>1085</v>
      </c>
      <c r="C518" t="s">
        <v>1094</v>
      </c>
      <c r="D518" t="s">
        <v>1108</v>
      </c>
      <c r="E518" s="204" t="s">
        <v>281</v>
      </c>
      <c r="F518" s="214" t="s">
        <v>960</v>
      </c>
    </row>
    <row r="519" spans="1:6" ht="26.25">
      <c r="A519" t="s">
        <v>1078</v>
      </c>
      <c r="B519" t="s">
        <v>1086</v>
      </c>
      <c r="C519" t="s">
        <v>1095</v>
      </c>
      <c r="D519" t="s">
        <v>1109</v>
      </c>
      <c r="E519" s="204" t="s">
        <v>282</v>
      </c>
      <c r="F519" s="214" t="s">
        <v>961</v>
      </c>
    </row>
    <row r="520" spans="1:6" ht="51.75">
      <c r="A520" t="s">
        <v>591</v>
      </c>
      <c r="B520" t="s">
        <v>1087</v>
      </c>
      <c r="C520" t="s">
        <v>1096</v>
      </c>
      <c r="D520" t="s">
        <v>1110</v>
      </c>
      <c r="E520" s="204" t="s">
        <v>283</v>
      </c>
      <c r="F520" s="214" t="s">
        <v>962</v>
      </c>
    </row>
    <row r="521" spans="1:6" ht="15.75">
      <c r="A521" t="s">
        <v>1079</v>
      </c>
      <c r="B521" t="s">
        <v>1088</v>
      </c>
      <c r="C521" t="s">
        <v>1097</v>
      </c>
      <c r="D521" t="s">
        <v>1111</v>
      </c>
      <c r="E521" s="204" t="s">
        <v>1041</v>
      </c>
      <c r="F521" s="214" t="s">
        <v>963</v>
      </c>
    </row>
    <row r="522" spans="1:6" ht="15.75">
      <c r="A522" t="s">
        <v>592</v>
      </c>
      <c r="B522" t="s">
        <v>1089</v>
      </c>
      <c r="C522" t="s">
        <v>1098</v>
      </c>
      <c r="D522" t="s">
        <v>1112</v>
      </c>
      <c r="F522" s="214" t="s">
        <v>964</v>
      </c>
    </row>
    <row r="523" spans="1:6" ht="15.75">
      <c r="A523" t="s">
        <v>593</v>
      </c>
      <c r="B523" t="s">
        <v>1090</v>
      </c>
      <c r="C523" t="s">
        <v>1099</v>
      </c>
      <c r="D523" t="s">
        <v>1113</v>
      </c>
      <c r="F523" s="4" t="s">
        <v>967</v>
      </c>
    </row>
    <row r="524" spans="1:6" ht="15.75">
      <c r="A524" t="s">
        <v>24</v>
      </c>
      <c r="B524" t="s">
        <v>1487</v>
      </c>
      <c r="C524" t="s">
        <v>1100</v>
      </c>
      <c r="D524" t="s">
        <v>1035</v>
      </c>
      <c r="F524" s="4" t="s">
        <v>966</v>
      </c>
    </row>
    <row r="525" spans="1:6" ht="15.75">
      <c r="A525" t="s">
        <v>1035</v>
      </c>
      <c r="B525" t="s">
        <v>1035</v>
      </c>
      <c r="C525" t="s">
        <v>1101</v>
      </c>
      <c r="D525" t="s">
        <v>1035</v>
      </c>
      <c r="F525" s="106" t="s">
        <v>1035</v>
      </c>
    </row>
    <row r="526" spans="1:6" ht="15.75">
      <c r="A526" t="s">
        <v>1035</v>
      </c>
      <c r="B526" t="s">
        <v>1035</v>
      </c>
      <c r="C526" t="s">
        <v>1102</v>
      </c>
      <c r="D526" t="s">
        <v>1035</v>
      </c>
      <c r="F526" s="106" t="s">
        <v>1035</v>
      </c>
    </row>
    <row r="527" spans="1:6" ht="15.75">
      <c r="A527" t="s">
        <v>1035</v>
      </c>
      <c r="B527" t="s">
        <v>1035</v>
      </c>
      <c r="C527" t="s">
        <v>1103</v>
      </c>
      <c r="D527" t="s">
        <v>1035</v>
      </c>
      <c r="F527" s="106" t="s">
        <v>1035</v>
      </c>
    </row>
    <row r="528" spans="1:6" ht="15.75">
      <c r="A528" t="s">
        <v>1035</v>
      </c>
      <c r="B528" t="s">
        <v>1035</v>
      </c>
      <c r="C528" t="s">
        <v>1104</v>
      </c>
      <c r="D528" t="s">
        <v>1035</v>
      </c>
      <c r="F528" s="106" t="s">
        <v>1035</v>
      </c>
    </row>
    <row r="529" spans="1:6" ht="15.75">
      <c r="A529" s="107" t="s">
        <v>1035</v>
      </c>
      <c r="B529" s="109" t="s">
        <v>1035</v>
      </c>
      <c r="C529" s="104" t="s">
        <v>1035</v>
      </c>
      <c r="D529" s="105" t="s">
        <v>1035</v>
      </c>
      <c r="F529" s="106" t="s">
        <v>1035</v>
      </c>
    </row>
  </sheetData>
  <sheetProtection/>
  <conditionalFormatting sqref="A453 A430:A445 F82 F71 F34:F36 F27">
    <cfRule type="expression" priority="1" dxfId="2" stopIfTrue="1">
      <formula>OR($G$9="120E",$G$9="120E Prepaid")</formula>
    </cfRule>
  </conditionalFormatting>
  <conditionalFormatting sqref="F430:F445 F453:F483 F41:F42 F44:F45 F47:F48 F50:F51 F53:F54 F56:F57 F59:F60 F62:F63 F65:F66 F68:F69">
    <cfRule type="expression" priority="2" dxfId="2" stopIfTrue="1">
      <formula>OR($G$6="120E",$G$6="120E Prepaid")</formula>
    </cfRule>
  </conditionalFormatting>
  <dataValidations count="29">
    <dataValidation type="list" allowBlank="1" showInputMessage="1" showErrorMessage="1" sqref="B511">
      <formula1>#REF!</formula1>
    </dataValidation>
    <dataValidation type="list" allowBlank="1" showInputMessage="1" showErrorMessage="1" sqref="D530:D65536 E121:E133 E33:E38 D374:D401 D316:D343 D258:D285 D229:D256 D200:D227 D171:D198 D142:D169 E72:E77 E18:E21 D27:E27 E23:E26 E83:E113 E80:E81 E135:E139 E142:E168 D16:E16 D33 D82 D96 D121 D71 D128 D139 E171:E197 E522:E65536 D403:D429 D489:E514 D287:D314 D345:D372 D40:E40">
      <formula1>$B$496:$B$512</formula1>
    </dataValidation>
    <dataValidation type="list" allowBlank="1" showInputMessage="1" showErrorMessage="1" sqref="C489:C514 C97:C113 C33:C38 C316:C343 C258:C285 C229:C256 C200:C227 C171:C198 C142:C169 C129:C133 C16 C135:C139 C530:C65536 C122:C127 C71:C95 C374:C401 C18:C27 C287:C314 C345:C372 C403:C429 C40">
      <formula1>$A$508:$A$511</formula1>
    </dataValidation>
    <dataValidation type="list" allowBlank="1" showInputMessage="1" showErrorMessage="1" sqref="E453">
      <formula1>$B$461:$B$491</formula1>
    </dataValidation>
    <dataValidation type="list" allowBlank="1" showInputMessage="1" showErrorMessage="1" sqref="C453">
      <formula1>$A$461:$A$489</formula1>
    </dataValidation>
    <dataValidation type="list" allowBlank="1" showInputMessage="1" showErrorMessage="1" sqref="C484">
      <formula1>$A$492:$A$495</formula1>
    </dataValidation>
    <dataValidation type="list" allowBlank="1" showInputMessage="1" showErrorMessage="1" sqref="D484:E484">
      <formula1>$B$472:$B$496</formula1>
    </dataValidation>
    <dataValidation type="list" allowBlank="1" showInputMessage="1" showErrorMessage="1" sqref="E430:E445">
      <formula1>$B$496:$B$511</formula1>
    </dataValidation>
    <dataValidation type="list" allowBlank="1" showInputMessage="1" showErrorMessage="1" sqref="C430:C445">
      <formula1>$A$496:$A$509</formula1>
    </dataValidation>
    <dataValidation type="list" allowBlank="1" showInputMessage="1" showErrorMessage="1" sqref="C447:C452 C402 C315 C13 C257 C228 C199 C170 C373 C28:C32 C17 C8 C3:C4 C141 C286 C344">
      <formula1>$A$503:$A$506</formula1>
    </dataValidation>
    <dataValidation type="list" allowBlank="1" showInputMessage="1" showErrorMessage="1" sqref="E447:E452 E402 E315 D3:E4 E257 E228 E199 E170 E373 E28:E32 E17 E8 E141 E286 E344">
      <formula1>$B$491:$B$507</formula1>
    </dataValidation>
    <dataValidation type="list" allowBlank="1" showInputMessage="1" showErrorMessage="1" sqref="E485:E488 E114:E120">
      <formula1>$B$501:$B$517</formula1>
    </dataValidation>
    <dataValidation type="list" allowBlank="1" showInputMessage="1" showErrorMessage="1" sqref="C485:C488 C114:C120">
      <formula1>$A$513:$A$516</formula1>
    </dataValidation>
    <dataValidation type="list" allowBlank="1" showInputMessage="1" showErrorMessage="1" sqref="E403:E429 E198 E374:E401 E316:E343 E258:E285 E229:E256 E200:E227 E287:E314 E345:E372 E169">
      <formula1>$B$471:$B$502</formula1>
    </dataValidation>
    <dataValidation type="list" allowBlank="1" showInputMessage="1" showErrorMessage="1" sqref="E140">
      <formula1>$B$616:$B$632</formula1>
    </dataValidation>
    <dataValidation type="list" allowBlank="1" showInputMessage="1" showErrorMessage="1" sqref="C140">
      <formula1>$A$616:$A$619</formula1>
    </dataValidation>
    <dataValidation type="list" allowBlank="1" showInputMessage="1" showErrorMessage="1" sqref="C134">
      <formula1>$A$495:$A$498</formula1>
    </dataValidation>
    <dataValidation type="list" allowBlank="1" showInputMessage="1" showErrorMessage="1" sqref="E134">
      <formula1>$B$468:$B$499</formula1>
    </dataValidation>
    <dataValidation type="list" allowBlank="1" showInputMessage="1" showErrorMessage="1" sqref="E82 E71">
      <formula1>#REF!</formula1>
    </dataValidation>
    <dataValidation type="list" allowBlank="1" showInputMessage="1" showErrorMessage="1" sqref="H86">
      <formula1>$I$86:$K$86</formula1>
    </dataValidation>
    <dataValidation type="list" allowBlank="1" showInputMessage="1" showErrorMessage="1" sqref="E78:E79">
      <formula1>$B$453:$B$463</formula1>
    </dataValidation>
    <dataValidation type="list" allowBlank="1" showInputMessage="1" showErrorMessage="1" sqref="D36 E22">
      <formula1>$B$471:$B$501</formula1>
    </dataValidation>
    <dataValidation type="list" allowBlank="1" showInputMessage="1" showErrorMessage="1" sqref="E39">
      <formula1>$B$551:$B$567</formula1>
    </dataValidation>
    <dataValidation type="list" allowBlank="1" showInputMessage="1" showErrorMessage="1" sqref="C39">
      <formula1>$A$563:$A$566</formula1>
    </dataValidation>
    <dataValidation type="list" allowBlank="1" showInputMessage="1" showErrorMessage="1" sqref="C12">
      <formula1>$A$502:$A$505</formula1>
    </dataValidation>
    <dataValidation type="list" allowBlank="1" showInputMessage="1" showErrorMessage="1" sqref="C14 C2 C6">
      <formula1>$A$489:$A$492</formula1>
    </dataValidation>
    <dataValidation type="list" allowBlank="1" showInputMessage="1" showErrorMessage="1" sqref="D14:E14 D2:E2 D6:E6">
      <formula1>$B$462:$B$493</formula1>
    </dataValidation>
    <dataValidation type="list" allowBlank="1" showInputMessage="1" showErrorMessage="1" sqref="C5">
      <formula1>$A$543:$A$546</formula1>
    </dataValidation>
    <dataValidation type="list" allowBlank="1" showInputMessage="1" showErrorMessage="1" sqref="E5">
      <formula1>$B$531:$B$547</formula1>
    </dataValidation>
  </dataValidations>
  <printOptions/>
  <pageMargins left="0.75" right="0.75" top="1" bottom="1" header="0.5" footer="0.5"/>
  <pageSetup horizontalDpi="300" verticalDpi="300" orientation="portrait" r:id="rId1"/>
  <rowBreaks count="1" manualBreakCount="1">
    <brk id="6" max="255" man="1"/>
  </rowBreaks>
</worksheet>
</file>

<file path=xl/worksheets/sheet12.xml><?xml version="1.0" encoding="utf-8"?>
<worksheet xmlns="http://schemas.openxmlformats.org/spreadsheetml/2006/main" xmlns:r="http://schemas.openxmlformats.org/officeDocument/2006/relationships">
  <sheetPr codeName="Sheet1"/>
  <dimension ref="A1:E557"/>
  <sheetViews>
    <sheetView workbookViewId="0" topLeftCell="A2">
      <selection activeCell="A2" sqref="A2"/>
    </sheetView>
  </sheetViews>
  <sheetFormatPr defaultColWidth="9.140625" defaultRowHeight="12.75"/>
  <cols>
    <col min="2" max="2" width="3.28125" style="0" customWidth="1"/>
    <col min="3" max="3" width="74.8515625" style="0" customWidth="1"/>
  </cols>
  <sheetData>
    <row r="1" spans="1:3" ht="12.75" hidden="1">
      <c r="A1">
        <v>0</v>
      </c>
      <c r="C1" t="s">
        <v>949</v>
      </c>
    </row>
    <row r="2" ht="40.5" customHeight="1"/>
    <row r="3" ht="12.75">
      <c r="C3" s="94" t="s">
        <v>1430</v>
      </c>
    </row>
    <row r="4" spans="3:5" ht="12.75">
      <c r="C4" s="412" t="str">
        <f>IF(ISERR(C5),"",IF(C5="","","Subsidy Lock Type"))</f>
        <v>Subsidy Lock Type</v>
      </c>
      <c r="D4" s="412"/>
      <c r="E4" s="413"/>
    </row>
    <row r="5" ht="12.75">
      <c r="C5" t="str">
        <f>'05_Subsidy Lock_GSM '!V3</f>
        <v>Lock on Range of IMSI Digits (0x04)</v>
      </c>
    </row>
    <row r="6" ht="12.75">
      <c r="C6">
        <f>'05_Subsidy Lock_GSM '!V2</f>
      </c>
    </row>
    <row r="8" spans="3:5" ht="12.75">
      <c r="C8" s="412" t="str">
        <f>IF(ISERR(C9),"",IF(C9="","",'05_Subsidy Lock_GSM '!B4))</f>
        <v>Number of Allowed Password Retries</v>
      </c>
      <c r="D8" s="412"/>
      <c r="E8" s="413"/>
    </row>
    <row r="9" ht="12.75">
      <c r="C9" t="str">
        <f>'05_Subsidy Lock_GSM '!V4</f>
        <v>FLEX_SUBSIDY_LOCK_GSM_FACTORY_MAX_RETRY - 3</v>
      </c>
    </row>
    <row r="11" spans="3:5" ht="12.75">
      <c r="C11" s="412" t="str">
        <f>IF(ISERR(C12),"",IF(C12="","","Subsidy lock Retries Left"))</f>
        <v>Subsidy lock Retries Left</v>
      </c>
      <c r="D11" s="412"/>
      <c r="E11" s="413"/>
    </row>
    <row r="12" ht="12.75">
      <c r="C12" t="str">
        <f>IF(C9&lt;&gt;"",CONCATENATE("FLEX_SUBSIDY_LOCK_GSM_RETRY_LEFT - ",'05_Subsidy Lock_GSM '!G4),"")</f>
        <v>FLEX_SUBSIDY_LOCK_GSM_RETRY_LEFT - 3</v>
      </c>
    </row>
    <row r="14" spans="3:5" ht="12.75">
      <c r="C14" s="412" t="str">
        <f>IF(ISERR(C15),"",IF(C15="","",'05_Subsidy Lock_GSM '!B5))</f>
        <v>Length Penalty Time (minutes)</v>
      </c>
      <c r="D14" s="412"/>
      <c r="E14" s="413"/>
    </row>
    <row r="15" ht="12.75">
      <c r="C15" t="str">
        <f>'05_Subsidy Lock_GSM '!V5</f>
        <v>FLEX_SUBSIDY_LOCK_GSM_PENALTY_LIMIT - 120</v>
      </c>
    </row>
    <row r="17" ht="12.75">
      <c r="C17" t="str">
        <f>'05_Subsidy Lock_GSM '!V6</f>
        <v>HPLMN1: 732-123</v>
      </c>
    </row>
    <row r="18" ht="12.75">
      <c r="C18" t="str">
        <f>'05_Subsidy Lock_GSM '!V7</f>
        <v>HPLMN2: 704-03</v>
      </c>
    </row>
    <row r="19" ht="12.75">
      <c r="C19" t="str">
        <f>'05_Subsidy Lock_GSM '!V8</f>
        <v>HPLMN3: 748-07</v>
      </c>
    </row>
    <row r="20" ht="12.75">
      <c r="C20" t="str">
        <f>'05_Subsidy Lock_GSM '!V9</f>
        <v>HPLMN4: 740-00</v>
      </c>
    </row>
    <row r="21" ht="12.75">
      <c r="C21" t="str">
        <f>'05_Subsidy Lock_GSM '!V10</f>
        <v>HPLMN5: 706-04</v>
      </c>
    </row>
    <row r="22" ht="12.75">
      <c r="C22" t="str">
        <f>'05_Subsidy Lock_GSM '!V11</f>
        <v>HPLMN6: 722-07</v>
      </c>
    </row>
    <row r="23" ht="12.75">
      <c r="C23" t="str">
        <f>'05_Subsidy Lock_GSM '!V12</f>
        <v>HPLMN7: 734-04</v>
      </c>
    </row>
    <row r="24" ht="12.75">
      <c r="C24" t="str">
        <f>'05_Subsidy Lock_GSM '!V13</f>
        <v>HPLMN8: 710-30</v>
      </c>
    </row>
    <row r="25" ht="12.75">
      <c r="C25" t="str">
        <f>'05_Subsidy Lock_GSM '!V14</f>
        <v>HPLMN9: 716-06</v>
      </c>
    </row>
    <row r="26" ht="12.75">
      <c r="C26" t="str">
        <f>'05_Subsidy Lock_GSM '!V15</f>
        <v>HPLMN10: 214-07</v>
      </c>
    </row>
    <row r="27" ht="12.75">
      <c r="C27" t="str">
        <f>'05_Subsidy Lock_GSM '!V16</f>
        <v>HPLMN11: 714-02</v>
      </c>
    </row>
    <row r="28" ht="12.75">
      <c r="C28" t="str">
        <f>'05_Subsidy Lock_GSM '!V17</f>
        <v>HPLMN12: 334-03</v>
      </c>
    </row>
    <row r="29" ht="12.75">
      <c r="C29" t="str">
        <f>'05_Subsidy Lock_GSM '!V18</f>
        <v>HPLMN13: 730-02</v>
      </c>
    </row>
    <row r="30" ht="12.75">
      <c r="C30">
        <f>'05_Subsidy Lock_GSM '!V19</f>
      </c>
    </row>
    <row r="31" ht="12.75">
      <c r="C31">
        <f>'05_Subsidy Lock_GSM '!V20</f>
      </c>
    </row>
    <row r="32" ht="12.75">
      <c r="C32">
        <f>'05_Subsidy Lock_GSM '!V21</f>
      </c>
    </row>
    <row r="33" ht="12.75">
      <c r="C33">
        <f>'05_Subsidy Lock_GSM '!V22</f>
      </c>
    </row>
    <row r="34" ht="12.75">
      <c r="C34">
        <f>'05_Subsidy Lock_GSM '!V23</f>
      </c>
    </row>
    <row r="35" ht="12.75">
      <c r="C35">
        <f>'05_Subsidy Lock_GSM '!V24</f>
      </c>
    </row>
    <row r="36" ht="12.75">
      <c r="C36">
        <f>'05_Subsidy Lock_GSM '!V25</f>
      </c>
    </row>
    <row r="37" ht="12.75">
      <c r="C37" s="94" t="s">
        <v>1430</v>
      </c>
    </row>
    <row r="38" ht="12.75">
      <c r="C38" t="str">
        <f>'07_GSM_WAP Profiles'!W2</f>
        <v>Session #1</v>
      </c>
    </row>
    <row r="39" ht="12.75">
      <c r="C39" t="str">
        <f>'07_GSM_WAP Profiles'!W3</f>
        <v>Selected as default?: Yes</v>
      </c>
    </row>
    <row r="40" ht="12.75">
      <c r="C40" t="str">
        <f>'07_GSM_WAP Profiles'!W4</f>
        <v>Access: RW</v>
      </c>
    </row>
    <row r="41" ht="12.75">
      <c r="C41" t="str">
        <f>'07_GSM_WAP Profiles'!W5</f>
        <v>User Session Name: Emocion</v>
      </c>
    </row>
    <row r="42" ht="12.75">
      <c r="C42" t="str">
        <f>'07_GSM_WAP Profiles'!W6</f>
        <v>Home Page: http://interactivo.telcel.net.ve/</v>
      </c>
    </row>
    <row r="43" ht="12.75">
      <c r="C43" t="str">
        <f>'07_GSM_WAP Profiles'!W7</f>
        <v>Primary IP address: 200.035.064.073</v>
      </c>
    </row>
    <row r="44" ht="12.75">
      <c r="C44" t="str">
        <f>'07_GSM_WAP Profiles'!W8</f>
        <v>Primary IP Port: 9001</v>
      </c>
    </row>
    <row r="45" ht="12.75">
      <c r="C45" t="str">
        <f>'07_GSM_WAP Profiles'!W9</f>
        <v>Domain 1: </v>
      </c>
    </row>
    <row r="46" ht="12.75">
      <c r="C46" t="str">
        <f>'07_GSM_WAP Profiles'!W10</f>
        <v>Service Type 1: HTTP</v>
      </c>
    </row>
    <row r="47" ht="12.75">
      <c r="C47" t="str">
        <f>'07_GSM_WAP Profiles'!W11</f>
        <v>Secondary IP address: </v>
      </c>
    </row>
    <row r="48" ht="12.75">
      <c r="C48" t="str">
        <f>'07_GSM_WAP Profiles'!W12</f>
        <v>Secondary IP Port: 9001</v>
      </c>
    </row>
    <row r="49" ht="12.75">
      <c r="C49" t="str">
        <f>'07_GSM_WAP Profiles'!W13</f>
        <v>Domain 2: </v>
      </c>
    </row>
    <row r="50" ht="12.75">
      <c r="C50" t="str">
        <f>'07_GSM_WAP Profiles'!W14</f>
        <v>Service Type 2: WAP</v>
      </c>
    </row>
    <row r="51" ht="12.75">
      <c r="C51" t="str">
        <f>'07_GSM_WAP Profiles'!W15</f>
        <v>DNS 1: </v>
      </c>
    </row>
    <row r="52" ht="12.75">
      <c r="C52" t="str">
        <f>'07_GSM_WAP Profiles'!W16</f>
        <v>DNS 2: </v>
      </c>
    </row>
    <row r="53" ht="12.75">
      <c r="C53" t="str">
        <f>'07_GSM_WAP Profiles'!W17</f>
        <v>CSD Timeout (seconds): 120</v>
      </c>
    </row>
    <row r="54" ht="12.75">
      <c r="C54" t="str">
        <f>'07_GSM_WAP Profiles'!W18</f>
        <v>CSD Phone Number L1: </v>
      </c>
    </row>
    <row r="55" ht="12.75">
      <c r="C55" t="str">
        <f>'07_GSM_WAP Profiles'!W19</f>
        <v>CSD User Name L1: </v>
      </c>
    </row>
    <row r="56" ht="12.75">
      <c r="C56" t="str">
        <f>'07_GSM_WAP Profiles'!W20</f>
        <v>CSD Password L1: </v>
      </c>
    </row>
    <row r="57" ht="12.75">
      <c r="C57" t="str">
        <f>'07_GSM_WAP Profiles'!W21</f>
        <v>CSD Connection Speed L1: 9600</v>
      </c>
    </row>
    <row r="58" ht="12.75">
      <c r="C58" t="str">
        <f>'07_GSM_WAP Profiles'!W22</f>
        <v>CSD Line Type L1: ISDN</v>
      </c>
    </row>
    <row r="59" ht="12.75">
      <c r="C59" t="str">
        <f>'07_GSM_WAP Profiles'!W23</f>
        <v>CSD Phone Number L2: </v>
      </c>
    </row>
    <row r="60" ht="12.75">
      <c r="C60" t="str">
        <f>'07_GSM_WAP Profiles'!W24</f>
        <v>CSD User Name L2: </v>
      </c>
    </row>
    <row r="61" ht="12.75">
      <c r="C61" t="str">
        <f>'07_GSM_WAP Profiles'!W25</f>
        <v>CSD Password L2: </v>
      </c>
    </row>
    <row r="62" ht="12.75">
      <c r="C62" t="str">
        <f>'07_GSM_WAP Profiles'!W26</f>
        <v>CSD Connection Speed L2: 9600</v>
      </c>
    </row>
    <row r="63" ht="12.75">
      <c r="C63" t="str">
        <f>'07_GSM_WAP Profiles'!W27</f>
        <v>CSD Line Type L2: ISDN</v>
      </c>
    </row>
    <row r="64" ht="12.75">
      <c r="C64" t="str">
        <f>'07_GSM_WAP Profiles'!W28</f>
        <v>GPRS APN: wap.movistar.ve</v>
      </c>
    </row>
    <row r="65" ht="12.75">
      <c r="C65" t="str">
        <f>'07_GSM_WAP Profiles'!W29</f>
        <v>GPRS User Name: </v>
      </c>
    </row>
    <row r="66" ht="12.75">
      <c r="C66" t="str">
        <f>'07_GSM_WAP Profiles'!W30</f>
        <v>GPRS Password: </v>
      </c>
    </row>
    <row r="67" ht="12.75">
      <c r="C67" s="94" t="s">
        <v>1430</v>
      </c>
    </row>
    <row r="68" ht="12.75">
      <c r="C68" t="str">
        <f>'07_GSM_WAP Profiles'!X2</f>
        <v>Session #2</v>
      </c>
    </row>
    <row r="69" ht="12.75">
      <c r="C69" t="str">
        <f>'07_GSM_WAP Profiles'!X3</f>
        <v>Selected as default?: No</v>
      </c>
    </row>
    <row r="70" ht="12.75">
      <c r="C70" t="str">
        <f>'07_GSM_WAP Profiles'!X4</f>
        <v>Access: RW</v>
      </c>
    </row>
    <row r="71" ht="12.75">
      <c r="C71" t="str">
        <f>'07_GSM_WAP Profiles'!X5</f>
        <v>User Session Name: Internet Movil</v>
      </c>
    </row>
    <row r="72" ht="12.75">
      <c r="C72" t="str">
        <f>'07_GSM_WAP Profiles'!X6</f>
        <v>Home Page: </v>
      </c>
    </row>
    <row r="73" ht="12.75">
      <c r="C73" t="str">
        <f>'07_GSM_WAP Profiles'!X7</f>
        <v>Primary IP address: </v>
      </c>
    </row>
    <row r="74" ht="12.75">
      <c r="C74" t="str">
        <f>'07_GSM_WAP Profiles'!X8</f>
        <v>Primary IP Port: 9201</v>
      </c>
    </row>
    <row r="75" ht="12.75">
      <c r="C75" t="str">
        <f>'07_GSM_WAP Profiles'!X9</f>
        <v>Domain 1: </v>
      </c>
    </row>
    <row r="76" ht="12.75">
      <c r="C76" t="str">
        <f>'07_GSM_WAP Profiles'!X10</f>
        <v>Service Type 1: HTTP</v>
      </c>
    </row>
    <row r="77" ht="12.75">
      <c r="C77" t="str">
        <f>'07_GSM_WAP Profiles'!X11</f>
        <v>Secondary IP address: </v>
      </c>
    </row>
    <row r="78" ht="12.75">
      <c r="C78" t="str">
        <f>'07_GSM_WAP Profiles'!X12</f>
        <v>Secondary IP Port: 9201</v>
      </c>
    </row>
    <row r="79" ht="12.75">
      <c r="C79" t="str">
        <f>'07_GSM_WAP Profiles'!X13</f>
        <v>Domain 2: </v>
      </c>
    </row>
    <row r="80" ht="12.75">
      <c r="C80" t="str">
        <f>'07_GSM_WAP Profiles'!X14</f>
        <v>Service Type 2: WAP</v>
      </c>
    </row>
    <row r="81" ht="12.75">
      <c r="C81" t="str">
        <f>'07_GSM_WAP Profiles'!X15</f>
        <v>DNS 1: 200.035.065.003</v>
      </c>
    </row>
    <row r="82" ht="12.75">
      <c r="C82" t="str">
        <f>'07_GSM_WAP Profiles'!X16</f>
        <v>DNS 2: 200.035.065.004</v>
      </c>
    </row>
    <row r="83" ht="12.75">
      <c r="C83" t="str">
        <f>'07_GSM_WAP Profiles'!X17</f>
        <v>CSD Timeout (seconds): 120</v>
      </c>
    </row>
    <row r="84" ht="12.75">
      <c r="C84" t="str">
        <f>'07_GSM_WAP Profiles'!X18</f>
        <v>CSD Phone Number L1: </v>
      </c>
    </row>
    <row r="85" ht="12.75">
      <c r="C85" t="str">
        <f>'07_GSM_WAP Profiles'!X19</f>
        <v>CSD User Name L1: </v>
      </c>
    </row>
    <row r="86" ht="12.75">
      <c r="C86" t="str">
        <f>'07_GSM_WAP Profiles'!X20</f>
        <v>CSD Password L1: </v>
      </c>
    </row>
    <row r="87" ht="12.75">
      <c r="C87" t="str">
        <f>'07_GSM_WAP Profiles'!X21</f>
        <v>CSD Connection Speed L1: 9600</v>
      </c>
    </row>
    <row r="88" ht="12.75">
      <c r="C88" t="str">
        <f>'07_GSM_WAP Profiles'!X22</f>
        <v>CSD Line Type L1: ISDN</v>
      </c>
    </row>
    <row r="89" ht="12.75">
      <c r="C89" t="str">
        <f>'07_GSM_WAP Profiles'!X23</f>
        <v>CSD Phone Number L2: </v>
      </c>
    </row>
    <row r="90" ht="12.75">
      <c r="C90" t="str">
        <f>'07_GSM_WAP Profiles'!X24</f>
        <v>CSD User Name L2: </v>
      </c>
    </row>
    <row r="91" ht="12.75">
      <c r="C91" t="str">
        <f>'07_GSM_WAP Profiles'!X25</f>
        <v>CSD Password L2: </v>
      </c>
    </row>
    <row r="92" ht="12.75">
      <c r="C92" t="str">
        <f>'07_GSM_WAP Profiles'!X26</f>
        <v>CSD Connection Speed L2: 9600</v>
      </c>
    </row>
    <row r="93" ht="12.75">
      <c r="C93" t="str">
        <f>'07_GSM_WAP Profiles'!X27</f>
        <v>CSD Line Type L2: ISDN</v>
      </c>
    </row>
    <row r="94" ht="12.75">
      <c r="C94" t="str">
        <f>'07_GSM_WAP Profiles'!X28</f>
        <v>GPRS APN: internet.movistar.ve</v>
      </c>
    </row>
    <row r="95" ht="12.75">
      <c r="C95" t="str">
        <f>'07_GSM_WAP Profiles'!X29</f>
        <v>GPRS User Name: </v>
      </c>
    </row>
    <row r="96" ht="12.75">
      <c r="C96" t="str">
        <f>'07_GSM_WAP Profiles'!X30</f>
        <v>GPRS Password: </v>
      </c>
    </row>
    <row r="97" ht="12.75">
      <c r="C97" s="94" t="s">
        <v>1430</v>
      </c>
    </row>
    <row r="98" ht="12.75">
      <c r="C98" t="str">
        <f>'07_GSM_WAP Profiles'!Y2</f>
        <v>Session #3</v>
      </c>
    </row>
    <row r="99" ht="12.75">
      <c r="C99" t="str">
        <f>'07_GSM_WAP Profiles'!Y3</f>
        <v>Selected as default?: No</v>
      </c>
    </row>
    <row r="100" ht="12.75">
      <c r="C100" t="str">
        <f>'07_GSM_WAP Profiles'!Y4</f>
        <v>Access: RW</v>
      </c>
    </row>
    <row r="101" ht="12.75">
      <c r="C101" t="str">
        <f>'07_GSM_WAP Profiles'!Y5</f>
        <v>User Session Name: MMS</v>
      </c>
    </row>
    <row r="102" ht="12.75">
      <c r="C102" t="str">
        <f>'07_GSM_WAP Profiles'!Y6</f>
        <v>Home Page: http://mms.movistar.com.ve:8088/mms</v>
      </c>
    </row>
    <row r="103" ht="12.75">
      <c r="C103" t="str">
        <f>'07_GSM_WAP Profiles'!Y7</f>
        <v>Primary IP address: 200.035.064.073</v>
      </c>
    </row>
    <row r="104" ht="12.75">
      <c r="C104" t="str">
        <f>'07_GSM_WAP Profiles'!Y8</f>
        <v>Primary IP Port: 9001</v>
      </c>
    </row>
    <row r="105" ht="12.75">
      <c r="C105" t="str">
        <f>'07_GSM_WAP Profiles'!Y9</f>
        <v>Domain 1: </v>
      </c>
    </row>
    <row r="106" ht="12.75">
      <c r="C106" t="str">
        <f>'07_GSM_WAP Profiles'!Y10</f>
        <v>Service Type 1: HTTP</v>
      </c>
    </row>
    <row r="107" ht="12.75">
      <c r="C107" t="str">
        <f>'07_GSM_WAP Profiles'!Y11</f>
        <v>Secondary IP address: </v>
      </c>
    </row>
    <row r="108" ht="12.75">
      <c r="C108" t="str">
        <f>'07_GSM_WAP Profiles'!Y12</f>
        <v>Secondary IP Port: 9001</v>
      </c>
    </row>
    <row r="109" ht="12.75">
      <c r="C109" t="str">
        <f>'07_GSM_WAP Profiles'!Y13</f>
        <v>Domain 2: </v>
      </c>
    </row>
    <row r="110" ht="12.75">
      <c r="C110" t="str">
        <f>'07_GSM_WAP Profiles'!Y14</f>
        <v>Service Type 2: WAP</v>
      </c>
    </row>
    <row r="111" ht="12.75">
      <c r="C111" t="str">
        <f>'07_GSM_WAP Profiles'!Y15</f>
        <v>DNS 1: </v>
      </c>
    </row>
    <row r="112" ht="12.75">
      <c r="C112" t="str">
        <f>'07_GSM_WAP Profiles'!Y16</f>
        <v>DNS 2: </v>
      </c>
    </row>
    <row r="113" ht="12.75">
      <c r="C113" t="str">
        <f>'07_GSM_WAP Profiles'!Y17</f>
        <v>CSD Timeout (seconds): 120</v>
      </c>
    </row>
    <row r="114" ht="12.75">
      <c r="C114" t="str">
        <f>'07_GSM_WAP Profiles'!Y18</f>
        <v>CSD Phone Number L1: </v>
      </c>
    </row>
    <row r="115" ht="12.75">
      <c r="C115" t="str">
        <f>'07_GSM_WAP Profiles'!Y19</f>
        <v>CSD User Name L1: </v>
      </c>
    </row>
    <row r="116" ht="12.75">
      <c r="C116" t="str">
        <f>'07_GSM_WAP Profiles'!Y20</f>
        <v>CSD Password L1: </v>
      </c>
    </row>
    <row r="117" ht="12.75">
      <c r="C117" t="str">
        <f>'07_GSM_WAP Profiles'!Y21</f>
        <v>CSD Connection Speed L1: 9600</v>
      </c>
    </row>
    <row r="118" ht="12.75">
      <c r="C118" t="str">
        <f>'07_GSM_WAP Profiles'!Y22</f>
        <v>CSD Line Type L1: ISDN</v>
      </c>
    </row>
    <row r="119" ht="12.75">
      <c r="C119" t="str">
        <f>'07_GSM_WAP Profiles'!Y23</f>
        <v>CSD Phone Number L2: </v>
      </c>
    </row>
    <row r="120" ht="12.75">
      <c r="C120" t="str">
        <f>'07_GSM_WAP Profiles'!Y24</f>
        <v>CSD User Name L2: </v>
      </c>
    </row>
    <row r="121" ht="12.75">
      <c r="C121" t="str">
        <f>'07_GSM_WAP Profiles'!Y25</f>
        <v>CSD Password L2: </v>
      </c>
    </row>
    <row r="122" ht="12.75">
      <c r="C122" t="str">
        <f>'07_GSM_WAP Profiles'!Y26</f>
        <v>CSD Connection Speed L2: 9600</v>
      </c>
    </row>
    <row r="123" ht="12.75">
      <c r="C123" t="str">
        <f>'07_GSM_WAP Profiles'!Y27</f>
        <v>CSD Line Type L2: ISDN</v>
      </c>
    </row>
    <row r="124" ht="12.75">
      <c r="C124" t="str">
        <f>'07_GSM_WAP Profiles'!Y28</f>
        <v>GPRS APN: mms.movistar.ve</v>
      </c>
    </row>
    <row r="125" ht="12.75">
      <c r="C125" t="str">
        <f>'07_GSM_WAP Profiles'!Y29</f>
        <v>GPRS User Name: </v>
      </c>
    </row>
    <row r="126" ht="12.75">
      <c r="C126" t="str">
        <f>'07_GSM_WAP Profiles'!Y30</f>
        <v>GPRS Password: </v>
      </c>
    </row>
    <row r="127" ht="12.75">
      <c r="C127" s="94" t="s">
        <v>1430</v>
      </c>
    </row>
    <row r="128" ht="12.75">
      <c r="C128">
        <f>'07_GSM_WAP Profiles'!Z2</f>
      </c>
    </row>
    <row r="129" ht="12.75">
      <c r="C129">
        <f>'07_GSM_WAP Profiles'!Z3</f>
      </c>
    </row>
    <row r="130" ht="12.75">
      <c r="C130">
        <f>'07_GSM_WAP Profiles'!Z4</f>
      </c>
    </row>
    <row r="131" ht="12.75">
      <c r="C131">
        <f>'07_GSM_WAP Profiles'!Z5</f>
      </c>
    </row>
    <row r="132" ht="12.75">
      <c r="C132">
        <f>'07_GSM_WAP Profiles'!Z6</f>
      </c>
    </row>
    <row r="133" ht="12.75">
      <c r="C133">
        <f>'07_GSM_WAP Profiles'!Z7</f>
      </c>
    </row>
    <row r="134" ht="12.75">
      <c r="C134">
        <f>'07_GSM_WAP Profiles'!Z8</f>
      </c>
    </row>
    <row r="135" ht="12.75">
      <c r="C135">
        <f>'07_GSM_WAP Profiles'!Z9</f>
      </c>
    </row>
    <row r="136" ht="12.75">
      <c r="C136">
        <f>'07_GSM_WAP Profiles'!Z10</f>
      </c>
    </row>
    <row r="137" ht="12.75">
      <c r="C137">
        <f>'07_GSM_WAP Profiles'!Z11</f>
      </c>
    </row>
    <row r="138" ht="12.75">
      <c r="C138">
        <f>'07_GSM_WAP Profiles'!Z12</f>
      </c>
    </row>
    <row r="139" ht="12.75">
      <c r="C139">
        <f>'07_GSM_WAP Profiles'!Z13</f>
      </c>
    </row>
    <row r="140" ht="12.75">
      <c r="C140">
        <f>'07_GSM_WAP Profiles'!Z14</f>
      </c>
    </row>
    <row r="141" ht="12.75">
      <c r="C141">
        <f>'07_GSM_WAP Profiles'!Z15</f>
      </c>
    </row>
    <row r="142" ht="12.75">
      <c r="C142">
        <f>'07_GSM_WAP Profiles'!Z16</f>
      </c>
    </row>
    <row r="143" ht="12.75">
      <c r="C143">
        <f>'07_GSM_WAP Profiles'!Z17</f>
      </c>
    </row>
    <row r="144" ht="12.75">
      <c r="C144">
        <f>'07_GSM_WAP Profiles'!Z18</f>
      </c>
    </row>
    <row r="145" ht="12.75">
      <c r="C145">
        <f>'07_GSM_WAP Profiles'!Z19</f>
      </c>
    </row>
    <row r="146" ht="12.75">
      <c r="C146">
        <f>'07_GSM_WAP Profiles'!Z20</f>
      </c>
    </row>
    <row r="147" ht="12.75">
      <c r="C147">
        <f>'07_GSM_WAP Profiles'!Z21</f>
      </c>
    </row>
    <row r="148" ht="12.75">
      <c r="C148">
        <f>'07_GSM_WAP Profiles'!Z22</f>
      </c>
    </row>
    <row r="149" ht="12.75">
      <c r="C149">
        <f>'07_GSM_WAP Profiles'!Z23</f>
      </c>
    </row>
    <row r="150" ht="12.75">
      <c r="C150">
        <f>'07_GSM_WAP Profiles'!Z24</f>
      </c>
    </row>
    <row r="151" ht="12.75">
      <c r="C151">
        <f>'07_GSM_WAP Profiles'!Z25</f>
      </c>
    </row>
    <row r="152" ht="12.75">
      <c r="C152">
        <f>'07_GSM_WAP Profiles'!Z26</f>
      </c>
    </row>
    <row r="153" ht="12.75">
      <c r="C153">
        <f>'07_GSM_WAP Profiles'!Z27</f>
      </c>
    </row>
    <row r="154" ht="12.75">
      <c r="C154">
        <f>'07_GSM_WAP Profiles'!Z28</f>
      </c>
    </row>
    <row r="155" ht="12.75">
      <c r="C155">
        <f>'07_GSM_WAP Profiles'!Z29</f>
      </c>
    </row>
    <row r="156" ht="12.75">
      <c r="C156">
        <f>'07_GSM_WAP Profiles'!Z30</f>
      </c>
    </row>
    <row r="157" ht="12.75">
      <c r="C157" s="94" t="s">
        <v>1430</v>
      </c>
    </row>
    <row r="158" ht="12.75">
      <c r="C158">
        <f>'07_GSM_WAP Profiles'!AA2</f>
      </c>
    </row>
    <row r="159" ht="12.75">
      <c r="C159">
        <f>'07_GSM_WAP Profiles'!AA3</f>
      </c>
    </row>
    <row r="160" ht="12.75">
      <c r="C160">
        <f>'07_GSM_WAP Profiles'!AA4</f>
      </c>
    </row>
    <row r="161" ht="12.75">
      <c r="C161">
        <f>'07_GSM_WAP Profiles'!AA5</f>
      </c>
    </row>
    <row r="162" ht="12.75">
      <c r="C162">
        <f>'07_GSM_WAP Profiles'!AA6</f>
      </c>
    </row>
    <row r="163" ht="12.75">
      <c r="C163">
        <f>'07_GSM_WAP Profiles'!AA7</f>
      </c>
    </row>
    <row r="164" ht="12.75">
      <c r="C164">
        <f>'07_GSM_WAP Profiles'!AA8</f>
      </c>
    </row>
    <row r="165" ht="12.75">
      <c r="C165">
        <f>'07_GSM_WAP Profiles'!AA9</f>
      </c>
    </row>
    <row r="166" ht="12.75">
      <c r="C166">
        <f>'07_GSM_WAP Profiles'!AA10</f>
      </c>
    </row>
    <row r="167" ht="12.75">
      <c r="C167">
        <f>'07_GSM_WAP Profiles'!AA11</f>
      </c>
    </row>
    <row r="168" ht="12.75">
      <c r="C168">
        <f>'07_GSM_WAP Profiles'!AA12</f>
      </c>
    </row>
    <row r="169" ht="12.75">
      <c r="C169">
        <f>'07_GSM_WAP Profiles'!AA13</f>
      </c>
    </row>
    <row r="170" ht="12.75">
      <c r="C170">
        <f>'07_GSM_WAP Profiles'!AA14</f>
      </c>
    </row>
    <row r="171" ht="12.75">
      <c r="C171">
        <f>'07_GSM_WAP Profiles'!AA15</f>
      </c>
    </row>
    <row r="172" ht="12.75">
      <c r="C172">
        <f>'07_GSM_WAP Profiles'!AA16</f>
      </c>
    </row>
    <row r="173" ht="12.75">
      <c r="C173">
        <f>'07_GSM_WAP Profiles'!AA17</f>
      </c>
    </row>
    <row r="174" ht="12.75">
      <c r="C174">
        <f>'07_GSM_WAP Profiles'!AA18</f>
      </c>
    </row>
    <row r="175" ht="12.75">
      <c r="C175">
        <f>'07_GSM_WAP Profiles'!AA19</f>
      </c>
    </row>
    <row r="176" ht="12.75">
      <c r="C176">
        <f>'07_GSM_WAP Profiles'!AA20</f>
      </c>
    </row>
    <row r="177" ht="12.75">
      <c r="C177">
        <f>'07_GSM_WAP Profiles'!AA21</f>
      </c>
    </row>
    <row r="178" ht="12.75">
      <c r="C178">
        <f>'07_GSM_WAP Profiles'!AA22</f>
      </c>
    </row>
    <row r="179" ht="12.75">
      <c r="C179">
        <f>'07_GSM_WAP Profiles'!AA23</f>
      </c>
    </row>
    <row r="180" ht="12.75">
      <c r="C180">
        <f>'07_GSM_WAP Profiles'!AA24</f>
      </c>
    </row>
    <row r="181" ht="12.75">
      <c r="C181">
        <f>'07_GSM_WAP Profiles'!AA25</f>
      </c>
    </row>
    <row r="182" ht="12.75">
      <c r="C182">
        <f>'07_GSM_WAP Profiles'!AA26</f>
      </c>
    </row>
    <row r="183" ht="12.75">
      <c r="C183">
        <f>'07_GSM_WAP Profiles'!AA27</f>
      </c>
    </row>
    <row r="184" ht="12.75">
      <c r="C184">
        <f>'07_GSM_WAP Profiles'!AA28</f>
      </c>
    </row>
    <row r="185" ht="12.75">
      <c r="C185">
        <f>'07_GSM_WAP Profiles'!AA29</f>
      </c>
    </row>
    <row r="186" ht="12.75">
      <c r="C186">
        <f>'07_GSM_WAP Profiles'!AA30</f>
      </c>
    </row>
    <row r="187" ht="12.75">
      <c r="C187" s="94" t="s">
        <v>1430</v>
      </c>
    </row>
    <row r="188" ht="12.75">
      <c r="C188">
        <f>'07_GSM_WAP Profiles'!AB2</f>
      </c>
    </row>
    <row r="189" ht="12.75">
      <c r="C189">
        <f>'07_GSM_WAP Profiles'!AB3</f>
      </c>
    </row>
    <row r="190" ht="12.75">
      <c r="C190">
        <f>'07_GSM_WAP Profiles'!AB4</f>
      </c>
    </row>
    <row r="191" ht="12.75">
      <c r="C191">
        <f>'07_GSM_WAP Profiles'!AB5</f>
      </c>
    </row>
    <row r="192" ht="12.75">
      <c r="C192">
        <f>'07_GSM_WAP Profiles'!AB6</f>
      </c>
    </row>
    <row r="193" ht="12.75">
      <c r="C193">
        <f>'07_GSM_WAP Profiles'!AB7</f>
      </c>
    </row>
    <row r="194" ht="12.75">
      <c r="C194">
        <f>'07_GSM_WAP Profiles'!AB8</f>
      </c>
    </row>
    <row r="195" ht="12.75">
      <c r="C195">
        <f>'07_GSM_WAP Profiles'!AB9</f>
      </c>
    </row>
    <row r="196" ht="12.75">
      <c r="C196">
        <f>'07_GSM_WAP Profiles'!AB10</f>
      </c>
    </row>
    <row r="197" ht="12.75">
      <c r="C197">
        <f>'07_GSM_WAP Profiles'!AB11</f>
      </c>
    </row>
    <row r="198" ht="12.75">
      <c r="C198">
        <f>'07_GSM_WAP Profiles'!AB12</f>
      </c>
    </row>
    <row r="199" ht="12.75">
      <c r="C199">
        <f>'07_GSM_WAP Profiles'!AB13</f>
      </c>
    </row>
    <row r="200" ht="12.75">
      <c r="C200">
        <f>'07_GSM_WAP Profiles'!AB14</f>
      </c>
    </row>
    <row r="201" ht="12.75">
      <c r="C201">
        <f>'07_GSM_WAP Profiles'!AB15</f>
      </c>
    </row>
    <row r="202" ht="12.75">
      <c r="C202">
        <f>'07_GSM_WAP Profiles'!AB16</f>
      </c>
    </row>
    <row r="203" ht="12.75">
      <c r="C203">
        <f>'07_GSM_WAP Profiles'!AB17</f>
      </c>
    </row>
    <row r="204" ht="12.75">
      <c r="C204">
        <f>'07_GSM_WAP Profiles'!AB18</f>
      </c>
    </row>
    <row r="205" ht="12.75">
      <c r="C205">
        <f>'07_GSM_WAP Profiles'!AB19</f>
      </c>
    </row>
    <row r="206" ht="12.75">
      <c r="C206">
        <f>'07_GSM_WAP Profiles'!AB20</f>
      </c>
    </row>
    <row r="207" ht="12.75">
      <c r="C207">
        <f>'07_GSM_WAP Profiles'!AB21</f>
      </c>
    </row>
    <row r="208" ht="12.75">
      <c r="C208">
        <f>'07_GSM_WAP Profiles'!AB22</f>
      </c>
    </row>
    <row r="209" ht="12.75">
      <c r="C209">
        <f>'07_GSM_WAP Profiles'!AB23</f>
      </c>
    </row>
    <row r="210" ht="12.75">
      <c r="C210">
        <f>'07_GSM_WAP Profiles'!AB24</f>
      </c>
    </row>
    <row r="211" ht="12.75">
      <c r="C211">
        <f>'07_GSM_WAP Profiles'!AB25</f>
      </c>
    </row>
    <row r="212" ht="12.75">
      <c r="C212">
        <f>'07_GSM_WAP Profiles'!AB26</f>
      </c>
    </row>
    <row r="213" ht="12.75">
      <c r="C213">
        <f>'07_GSM_WAP Profiles'!AB27</f>
      </c>
    </row>
    <row r="214" ht="12.75">
      <c r="C214">
        <f>'07_GSM_WAP Profiles'!AB28</f>
      </c>
    </row>
    <row r="215" ht="12.75">
      <c r="C215">
        <f>'07_GSM_WAP Profiles'!AB29</f>
      </c>
    </row>
    <row r="216" ht="12.75">
      <c r="C216">
        <f>'07_GSM_WAP Profiles'!AB30</f>
      </c>
    </row>
    <row r="217" ht="12.75">
      <c r="C217" s="94" t="s">
        <v>1430</v>
      </c>
    </row>
    <row r="219" spans="1:5" ht="12.75">
      <c r="A219">
        <f>IF(ISERR(C1),A1,IF(C1="",A1,A1+1))</f>
        <v>1</v>
      </c>
      <c r="B219" t="s">
        <v>950</v>
      </c>
      <c r="C219" s="412">
        <f>IF(ISERR(C220),"",IF(C220="","",'01_Initial Setup'!B21))</f>
      </c>
      <c r="D219" s="412"/>
      <c r="E219" s="413"/>
    </row>
    <row r="220" ht="12.75">
      <c r="C220">
        <f>'01_Initial Setup'!V21</f>
      </c>
    </row>
    <row r="222" spans="1:5" ht="12.75">
      <c r="A222">
        <f>IF(ISERR(C219),A219,IF(C219="",A219,A219+1))</f>
        <v>1</v>
      </c>
      <c r="B222" t="s">
        <v>950</v>
      </c>
      <c r="C222" s="412">
        <f>IF(ISERR(C223),"",IF(C223="","",'01_Initial Setup'!B22))</f>
      </c>
      <c r="D222" s="412"/>
      <c r="E222" s="413"/>
    </row>
    <row r="223" ht="12.75">
      <c r="C223">
        <f>'01_Initial Setup'!V22</f>
      </c>
    </row>
    <row r="225" spans="1:5" ht="12.75">
      <c r="A225">
        <f>IF(ISERR(C222),A222,IF(C222="",A222,A222+1))</f>
        <v>1</v>
      </c>
      <c r="B225" t="s">
        <v>950</v>
      </c>
      <c r="C225" s="412">
        <f>IF(ISERR(C226),"",IF(C226="","",'01_Initial Setup'!B23))</f>
      </c>
      <c r="D225" s="412"/>
      <c r="E225" s="413"/>
    </row>
    <row r="226" ht="12.75">
      <c r="C226">
        <f>'01_Initial Setup'!V23</f>
      </c>
    </row>
    <row r="228" spans="1:5" ht="12.75">
      <c r="A228">
        <f>IF(ISERR(C225),A225,IF(C225="",A225,A225+1))</f>
        <v>1</v>
      </c>
      <c r="B228" t="s">
        <v>950</v>
      </c>
      <c r="C228" s="412">
        <f>IF(ISERR(C229),"",IF(C229="","",'01_Initial Setup'!B24))</f>
      </c>
      <c r="D228" s="412"/>
      <c r="E228" s="413"/>
    </row>
    <row r="229" ht="12.75">
      <c r="C229">
        <f>'01_Initial Setup'!V24</f>
      </c>
    </row>
    <row r="231" spans="1:5" ht="12.75">
      <c r="A231">
        <f>IF(ISERR(C228),A228,IF(C228="",A228,A228+1))</f>
        <v>1</v>
      </c>
      <c r="B231" t="s">
        <v>950</v>
      </c>
      <c r="C231" s="412">
        <f>IF(ISERR(C232),"",IF(C232="","",'01_Initial Setup'!#REF!))</f>
      </c>
      <c r="D231" s="412"/>
      <c r="E231" s="413"/>
    </row>
    <row r="232" ht="12.75">
      <c r="C232" t="e">
        <f>'01_Initial Setup'!#REF!</f>
        <v>#REF!</v>
      </c>
    </row>
    <row r="234" spans="1:5" ht="12.75">
      <c r="A234">
        <f>IF(ISERR(C231),A231,IF(C231="",A231,A231+1))</f>
        <v>1</v>
      </c>
      <c r="B234" t="s">
        <v>950</v>
      </c>
      <c r="C234" s="412" t="str">
        <f>IF(ISERR(C235),"",IF(C235="","",'01_Initial Setup'!B25))</f>
        <v>Multiple Key answer</v>
      </c>
      <c r="D234" s="412"/>
      <c r="E234" s="413"/>
    </row>
    <row r="235" ht="12.75">
      <c r="C235" t="str">
        <f>'01_Initial Setup'!V25</f>
        <v>DL_DB_FEATURE_ID_MULTI_KEY_ANSWER - Off</v>
      </c>
    </row>
    <row r="237" spans="1:5" ht="12.75">
      <c r="A237">
        <f>IF(ISERR(C234),A234,IF(C234="",A234,A234+1))</f>
        <v>2</v>
      </c>
      <c r="B237" t="s">
        <v>950</v>
      </c>
      <c r="C237" s="412" t="str">
        <f>IF(ISERR(C238),"",IF(C238="","",'01_Initial Setup'!B26))</f>
        <v>Calling Voice Mail when pressing 1</v>
      </c>
      <c r="D237" s="412"/>
      <c r="E237" s="413"/>
    </row>
    <row r="238" ht="12.75">
      <c r="C238" t="str">
        <f>'01_Initial Setup'!V26</f>
        <v>DL_DB_FEATURE_ID_VOICEMAIL_KEY_AVAILABLE - On</v>
      </c>
    </row>
    <row r="240" spans="1:5" ht="12.75">
      <c r="A240">
        <f>IF(ISERR(C237),A237,IF(C237="",A237,A237+1))</f>
        <v>3</v>
      </c>
      <c r="B240" t="s">
        <v>950</v>
      </c>
      <c r="C240" s="412">
        <f>IF(ISERR(C241),"",IF(C241="","",'01_Initial Setup'!B27))</f>
      </c>
      <c r="D240" s="412"/>
      <c r="E240" s="413"/>
    </row>
    <row r="241" ht="12.75">
      <c r="C241">
        <f>'01_Initial Setup'!V27</f>
      </c>
    </row>
    <row r="243" spans="1:5" ht="12.75">
      <c r="A243">
        <f>IF(ISERR(C240),A240,IF(C240="",A240,A240+1))</f>
        <v>3</v>
      </c>
      <c r="B243" t="s">
        <v>950</v>
      </c>
      <c r="C243" s="412">
        <f>IF(ISERR(C244),"",IF(C244="","",'01_Initial Setup'!B28))</f>
      </c>
      <c r="D243" s="412"/>
      <c r="E243" s="413"/>
    </row>
    <row r="244" ht="12.75">
      <c r="C244">
        <f>'01_Initial Setup'!V28</f>
      </c>
    </row>
    <row r="246" spans="1:5" ht="12.75">
      <c r="A246">
        <f>IF(ISERR(C243),A243,IF(C243="",A243,A243+1))</f>
        <v>3</v>
      </c>
      <c r="B246" t="s">
        <v>950</v>
      </c>
      <c r="C246" s="412" t="str">
        <f>IF(ISERR(C247),"",IF(C247="","",'01_Initial Setup'!B29))</f>
        <v>Additional Emergency Number</v>
      </c>
      <c r="D246" s="412"/>
      <c r="E246" s="413"/>
    </row>
    <row r="247" ht="12.75">
      <c r="C247" t="str">
        <f>'01_Initial Setup'!V29</f>
        <v>SEEM_EMERGENCY_NUMBERS - 911</v>
      </c>
    </row>
    <row r="249" spans="1:5" ht="12.75">
      <c r="A249">
        <f>IF(ISERR(C246),A246,IF(C246="",A246,A246+1))</f>
        <v>4</v>
      </c>
      <c r="B249" t="s">
        <v>950</v>
      </c>
      <c r="C249" s="412" t="str">
        <f>IF(ISERR(C250),"",IF(C250="","",'01_Initial Setup'!B30))</f>
        <v>Voice Mail Number</v>
      </c>
      <c r="D249" s="412"/>
      <c r="E249" s="413"/>
    </row>
    <row r="250" ht="12.75">
      <c r="C250" t="str">
        <f>'01_Initial Setup'!V30</f>
        <v>SEEM_VOICE_MAIL_NUMBER - *2</v>
      </c>
    </row>
    <row r="252" spans="1:5" ht="12.75">
      <c r="A252">
        <f>IF(ISERR(C249),A249,IF(C249="",A249,A249+1))</f>
        <v>5</v>
      </c>
      <c r="B252" t="s">
        <v>950</v>
      </c>
      <c r="C252" s="412">
        <f>IF(ISERR(C253),"",IF(C253="","",'01_Initial Setup'!#REF!))</f>
      </c>
      <c r="D252" s="412"/>
      <c r="E252" s="413"/>
    </row>
    <row r="253" ht="12.75">
      <c r="C253" t="e">
        <f>'01_Initial Setup'!#REF!</f>
        <v>#REF!</v>
      </c>
    </row>
    <row r="255" spans="1:5" ht="12.75">
      <c r="A255">
        <f>IF(ISERR(C252),A252,IF(C252="",A252,A252+1))</f>
        <v>5</v>
      </c>
      <c r="B255" t="s">
        <v>950</v>
      </c>
      <c r="C255" s="412">
        <f>IF(ISERR(C256),"",IF(C256="","",'01_Initial Setup'!#REF!))</f>
      </c>
      <c r="D255" s="412"/>
      <c r="E255" s="413"/>
    </row>
    <row r="258" spans="1:5" ht="12.75">
      <c r="A258">
        <f>IF(ISERR(C255),A255,IF(C255="",A255,A255+1))</f>
        <v>5</v>
      </c>
      <c r="B258" t="s">
        <v>950</v>
      </c>
      <c r="C258" s="412">
        <f>IF(ISERR(C259),"",IF(C259="","",'01_Initial Setup'!#REF!))</f>
      </c>
      <c r="D258" s="412"/>
      <c r="E258" s="413"/>
    </row>
    <row r="259" ht="12.75">
      <c r="C259" t="e">
        <f>'01_Initial Setup'!#REF!</f>
        <v>#REF!</v>
      </c>
    </row>
    <row r="261" spans="1:5" ht="12.75">
      <c r="A261">
        <f>IF(ISERR(C258),A258,IF(C258="",A258,A258+1))</f>
        <v>5</v>
      </c>
      <c r="B261" t="s">
        <v>950</v>
      </c>
      <c r="C261" s="412">
        <f>IF(ISERR(C262),"",IF(C262="","",'01_Initial Setup'!#REF!))</f>
      </c>
      <c r="D261" s="412"/>
      <c r="E261" s="413"/>
    </row>
    <row r="262" ht="12.75">
      <c r="C262" t="e">
        <f>'01_Initial Setup'!#REF!</f>
        <v>#REF!</v>
      </c>
    </row>
    <row r="264" spans="1:5" ht="12.75">
      <c r="A264">
        <f>IF(ISERR(C261),A261,IF(C261="",A261,A261+1))</f>
        <v>5</v>
      </c>
      <c r="B264" t="s">
        <v>950</v>
      </c>
      <c r="C264" s="412">
        <f>IF(ISERR(C265),"",IF(C265="","",'03_GSM_Specific'!B3))</f>
      </c>
      <c r="D264" s="412"/>
      <c r="E264" s="413"/>
    </row>
    <row r="265" ht="12.75">
      <c r="C265">
        <f>'03_GSM_Specific'!V3</f>
      </c>
    </row>
    <row r="267" spans="1:5" ht="12.75">
      <c r="A267">
        <f>IF(ISERR(C264),A264,IF(C264="",A264,A264+1))</f>
        <v>5</v>
      </c>
      <c r="B267" t="s">
        <v>950</v>
      </c>
      <c r="C267" s="412">
        <f>IF(ISERR(C268),"",IF(C268="","",'03_GSM_Specific'!B4))</f>
      </c>
      <c r="D267" s="412"/>
      <c r="E267" s="413"/>
    </row>
    <row r="268" ht="12.75">
      <c r="C268">
        <f>'03_GSM_Specific'!V4</f>
      </c>
    </row>
    <row r="270" spans="1:5" ht="12.75">
      <c r="A270">
        <f>IF(ISERR(C267),A267,IF(C267="",A267,A267+1))</f>
        <v>5</v>
      </c>
      <c r="B270" t="s">
        <v>950</v>
      </c>
      <c r="C270" s="412">
        <f>IF(ISERR(C271),"",IF(C271="","",'03_GSM_Specific'!B5))</f>
      </c>
      <c r="D270" s="412"/>
      <c r="E270" s="413"/>
    </row>
    <row r="271" ht="12.75">
      <c r="C271">
        <f>'03_GSM_Specific'!V5</f>
      </c>
    </row>
    <row r="273" spans="1:5" ht="12.75">
      <c r="A273">
        <f>IF(ISERR(C270),A270,IF(C270="",A270,A270+1))</f>
        <v>5</v>
      </c>
      <c r="B273" t="s">
        <v>950</v>
      </c>
      <c r="C273" s="412">
        <f>IF(ISERR(C274),"",IF(C274="","",'03_GSM_Specific'!B6))</f>
      </c>
      <c r="D273" s="412"/>
      <c r="E273" s="413"/>
    </row>
    <row r="274" ht="12.75">
      <c r="C274">
        <f>'03_GSM_Specific'!V6</f>
      </c>
    </row>
    <row r="276" spans="1:5" ht="12.75">
      <c r="A276">
        <f>IF(ISERR(C273),A273,IF(C273="",A273,A273+1))</f>
        <v>5</v>
      </c>
      <c r="B276" t="s">
        <v>950</v>
      </c>
      <c r="C276" s="412">
        <f>IF(ISERR(C277),"",IF(C277="","",'03_GSM_Specific'!B7))</f>
      </c>
      <c r="D276" s="412"/>
      <c r="E276" s="413"/>
    </row>
    <row r="277" ht="12.75">
      <c r="C277">
        <f>'03_GSM_Specific'!V7</f>
      </c>
    </row>
    <row r="279" spans="1:5" ht="12.75">
      <c r="A279">
        <f>IF(ISERR(C276),A276,IF(C276="",A276,A276+1))</f>
        <v>5</v>
      </c>
      <c r="B279" t="s">
        <v>950</v>
      </c>
      <c r="C279" s="412">
        <f>IF(ISERR(C280),"",IF(C280="","",'03_GSM_Specific'!B8))</f>
      </c>
      <c r="D279" s="412"/>
      <c r="E279" s="413"/>
    </row>
    <row r="280" ht="12.75">
      <c r="C280">
        <f>'03_GSM_Specific'!V8</f>
      </c>
    </row>
    <row r="282" spans="1:5" ht="12.75">
      <c r="A282">
        <f>IF(ISERR(C279),A279,IF(C279="",A279,A279+1))</f>
        <v>5</v>
      </c>
      <c r="B282" t="s">
        <v>950</v>
      </c>
      <c r="C282" s="412" t="str">
        <f>IF(ISERR(C283),"",IF(C283="","",'03_GSM_Specific'!B9))</f>
        <v>STK User response Time Out</v>
      </c>
      <c r="D282" s="412"/>
      <c r="E282" s="413"/>
    </row>
    <row r="283" ht="12.75">
      <c r="C283" t="str">
        <f>'03_GSM_Specific'!V9</f>
        <v>DL_DB_FEATURE_ID_SIMTK_USER_RESPONSE_TIMEOUT - </v>
      </c>
    </row>
    <row r="285" spans="1:5" ht="12.75">
      <c r="A285">
        <f>IF(ISERR(C282),A282,IF(C282="",A282,A282+1))</f>
        <v>6</v>
      </c>
      <c r="B285" t="s">
        <v>950</v>
      </c>
      <c r="C285" s="412" t="str">
        <f>IF(ISERR(C286),"",IF(C286="","",'03_GSM_Specific'!B10))</f>
        <v>STK Display Text Time Out</v>
      </c>
      <c r="D285" s="412"/>
      <c r="E285" s="413"/>
    </row>
    <row r="286" ht="12.75">
      <c r="C286" t="str">
        <f>'03_GSM_Specific'!V10</f>
        <v>DL_DB_FEATURE_ID_STK_DISPLAY_TEXT_TIMEOUT_TIME - </v>
      </c>
    </row>
    <row r="288" spans="1:5" ht="12.75">
      <c r="A288">
        <f>IF(ISERR(C285),A285,IF(C285="",A285,A285+1))</f>
        <v>7</v>
      </c>
      <c r="B288" t="s">
        <v>950</v>
      </c>
      <c r="C288" s="412">
        <f>IF(ISERR(C289),"",IF(C289="","",'03_GSM_Specific'!B11))</f>
      </c>
      <c r="D288" s="412"/>
      <c r="E288" s="413"/>
    </row>
    <row r="289" ht="12.75">
      <c r="C289">
        <f>'03_GSM_Specific'!V11</f>
      </c>
    </row>
    <row r="291" spans="1:5" ht="12.75">
      <c r="A291">
        <f>IF(ISERR(C288),A288,IF(C288="",A288,A288+1))</f>
        <v>7</v>
      </c>
      <c r="B291" t="s">
        <v>950</v>
      </c>
      <c r="C291" s="412" t="str">
        <f>IF(ISERR(C292),"",IF(C292="","",'03_GSM_Specific'!B12))</f>
        <v>Delete Messages on SIM card change</v>
      </c>
      <c r="D291" s="412"/>
      <c r="E291" s="413"/>
    </row>
    <row r="292" ht="12.75">
      <c r="C292" t="str">
        <f>'03_GSM_Specific'!V12</f>
        <v>DL_DB_FEATURE_ID_MMS_SIM_CHANGE_DELETE - On</v>
      </c>
    </row>
    <row r="294" spans="1:5" ht="12.75">
      <c r="A294">
        <f>IF(ISERR(C291),A291,IF(C291="",A291,A291+1))</f>
        <v>8</v>
      </c>
      <c r="B294" t="s">
        <v>950</v>
      </c>
      <c r="C294" s="61">
        <f>IF(ISERR(C295),"",IF(C295="","",'04_GSM_SMS-EMS-MMS-Email'!B3))</f>
      </c>
      <c r="D294" s="62"/>
      <c r="E294" s="62"/>
    </row>
    <row r="295" ht="12.75">
      <c r="C295">
        <f>'04_GSM_SMS-EMS-MMS-Email'!V3</f>
      </c>
    </row>
    <row r="297" spans="1:3" ht="12.75">
      <c r="A297">
        <f>IF(ISERR(C294),A294,IF(C294="",A294,A294+1))</f>
        <v>8</v>
      </c>
      <c r="B297" t="s">
        <v>950</v>
      </c>
      <c r="C297" s="61" t="str">
        <f>IF(ISERR(C298),"",IF(C298="","",'04_GSM_SMS-EMS-MMS-Email'!B4))</f>
        <v>Unicode Mobile Originated SMS</v>
      </c>
    </row>
    <row r="298" ht="12.75">
      <c r="C298" t="str">
        <f>'04_GSM_SMS-EMS-MMS-Email'!V4</f>
        <v>DL_DB_FEATURE_ID_UNICODE_MOSMS_AVAILABLE - Off</v>
      </c>
    </row>
    <row r="300" spans="1:3" ht="12.75">
      <c r="A300">
        <f>IF(ISERR(C297),A297,IF(C297="",A297,A297+1))</f>
        <v>9</v>
      </c>
      <c r="B300" t="s">
        <v>950</v>
      </c>
      <c r="C300" s="61">
        <f>IF(ISERR(C301),"",IF(C301="","",'04_GSM_SMS-EMS-MMS-Email'!B5))</f>
      </c>
    </row>
    <row r="301" ht="12.75">
      <c r="C301">
        <f>'04_GSM_SMS-EMS-MMS-Email'!V5</f>
      </c>
    </row>
    <row r="303" spans="1:3" ht="12.75">
      <c r="A303">
        <f>IF(ISERR(C300),A300,IF(C300="",A300,A300+1))</f>
        <v>9</v>
      </c>
      <c r="B303" t="s">
        <v>950</v>
      </c>
      <c r="C303" s="61" t="str">
        <f>IF(ISERR(C304),"",IF(C304="","",'04_GSM_SMS-EMS-MMS-Email'!B6))</f>
        <v>Primary Input Method for SMS</v>
      </c>
    </row>
    <row r="304" ht="12.75">
      <c r="C304" t="str">
        <f>'04_GSM_SMS-EMS-MMS-Email'!W6</f>
        <v>ITAP Turkçe</v>
      </c>
    </row>
    <row r="306" spans="1:3" ht="12.75">
      <c r="A306">
        <f>IF(ISERR(C303),A303,IF(C303="",A303,A303+1))</f>
        <v>10</v>
      </c>
      <c r="B306" t="s">
        <v>950</v>
      </c>
      <c r="C306" s="61" t="str">
        <f>IF(ISERR(C307),"",IF(C307="","",'04_GSM_SMS-EMS-MMS-Email'!B7))</f>
        <v>Secondray Input Method of SMS</v>
      </c>
    </row>
    <row r="307" ht="12.75">
      <c r="C307" t="str">
        <f>'04_GSM_SMS-EMS-MMS-Email'!W7</f>
        <v>0003</v>
      </c>
    </row>
    <row r="309" spans="1:3" ht="12.75">
      <c r="A309">
        <f>IF(ISERR(C306),A306,IF(C306="",A306,A306+1))</f>
        <v>11</v>
      </c>
      <c r="B309" t="s">
        <v>950</v>
      </c>
      <c r="C309" s="61">
        <f>IF(ISERR(C310),"",IF(C310="","",'04_GSM_SMS-EMS-MMS-Email'!B8))</f>
      </c>
    </row>
    <row r="310" ht="12.75">
      <c r="C310">
        <f>'04_GSM_SMS-EMS-MMS-Email'!V8</f>
      </c>
    </row>
    <row r="312" spans="1:3" ht="12.75">
      <c r="A312">
        <f>IF(ISERR(C309),A309,IF(C309="",A309,A309+1))</f>
        <v>11</v>
      </c>
      <c r="B312" t="s">
        <v>950</v>
      </c>
      <c r="C312" s="61" t="str">
        <f>IF(ISERR(C313),"",IF(C313="","",'04_GSM_SMS-EMS-MMS-Email'!B9))</f>
        <v>Quick View Channel</v>
      </c>
    </row>
    <row r="313" ht="12.75">
      <c r="C313" t="str">
        <f>'04_GSM_SMS-EMS-MMS-Email'!V9</f>
        <v>DL_DB_FEATURE_ID_BROADCAST_QUICK_VIEW_CHANNEL -50</v>
      </c>
    </row>
    <row r="315" spans="1:3" ht="12.75">
      <c r="A315">
        <f>IF(ISERR(C312),A312,IF(C312="",A312,A312+1))</f>
        <v>12</v>
      </c>
      <c r="B315" t="s">
        <v>950</v>
      </c>
      <c r="C315" s="61">
        <f>IF(ISERR(C316),"",IF(C316="","",'04_GSM_SMS-EMS-MMS-Email'!B10))</f>
      </c>
    </row>
    <row r="316" ht="12.75">
      <c r="C316">
        <f>'04_GSM_SMS-EMS-MMS-Email'!V10</f>
      </c>
    </row>
    <row r="318" spans="1:3" ht="12.75">
      <c r="A318">
        <f>IF(ISERR(C315),A315,IF(C315="",A315,A315+1))</f>
        <v>12</v>
      </c>
      <c r="B318" t="s">
        <v>950</v>
      </c>
      <c r="C318" s="61">
        <f>IF(ISERR(C319),"",IF(C319="","",'04_GSM_SMS-EMS-MMS-Email'!B11))</f>
      </c>
    </row>
    <row r="319" ht="12.75">
      <c r="C319">
        <f>'04_GSM_SMS-EMS-MMS-Email'!V11</f>
      </c>
    </row>
    <row r="321" spans="1:3" ht="12.75">
      <c r="A321">
        <f>IF(ISERR(C318),A318,IF(C318="",A318,A318+1))</f>
        <v>12</v>
      </c>
      <c r="B321" t="s">
        <v>950</v>
      </c>
      <c r="C321" s="61" t="str">
        <f>IF(ISERR(C322),"",IF(C322="","",'04_GSM_SMS-EMS-MMS-Email'!B12))</f>
        <v>MMS Server</v>
      </c>
    </row>
    <row r="322" ht="12.75">
      <c r="C322" t="str">
        <f>'04_GSM_SMS-EMS-MMS-Email'!V12</f>
        <v>http://mms.movistar.com.ve:8088/mms</v>
      </c>
    </row>
    <row r="324" spans="1:3" ht="12.75">
      <c r="A324">
        <f>IF(ISERR(C321),A321,IF(C321="",A321,A321+1))</f>
        <v>13</v>
      </c>
      <c r="B324" t="s">
        <v>950</v>
      </c>
      <c r="C324" s="61">
        <f>IF(ISERR(C325),"",IF(C325="","",'04_GSM_SMS-EMS-MMS-Email'!B13))</f>
      </c>
    </row>
    <row r="325" ht="12.75">
      <c r="C325">
        <f>'04_GSM_SMS-EMS-MMS-Email'!V13</f>
      </c>
    </row>
    <row r="327" spans="1:3" ht="12.75">
      <c r="A327">
        <f>IF(ISERR(C324),A324,IF(C324="",A324,A324+1))</f>
        <v>13</v>
      </c>
      <c r="B327" t="s">
        <v>950</v>
      </c>
      <c r="C327" s="61">
        <f>IF(ISERR(C328),"",IF(C328="","",'04_GSM_SMS-EMS-MMS-Email'!B14))</f>
      </c>
    </row>
    <row r="328" ht="12.75">
      <c r="C328">
        <f>'04_GSM_SMS-EMS-MMS-Email'!V14</f>
      </c>
    </row>
    <row r="330" spans="1:3" ht="12.75">
      <c r="A330">
        <f>IF(ISERR(C327),A327,IF(C327="",A327,A327+1))</f>
        <v>13</v>
      </c>
      <c r="B330" t="s">
        <v>950</v>
      </c>
      <c r="C330" s="61">
        <f>IF(ISERR(C331),"",IF(C331="","",'04_GSM_SMS-EMS-MMS-Email'!#REF!))</f>
      </c>
    </row>
    <row r="331" ht="12.75">
      <c r="C331" t="e">
        <f>'04_GSM_SMS-EMS-MMS-Email'!#REF!</f>
        <v>#REF!</v>
      </c>
    </row>
    <row r="333" spans="1:3" ht="12.75">
      <c r="A333">
        <f>IF(ISERR(C330),A330,IF(C330="",A330,A330+1))</f>
        <v>13</v>
      </c>
      <c r="B333" t="s">
        <v>950</v>
      </c>
      <c r="C333" s="61">
        <f>IF(ISERR(C334),"",IF(C334="","",'04_GSM_SMS-EMS-MMS-Email'!#REF!))</f>
      </c>
    </row>
    <row r="334" ht="12.75">
      <c r="C334" t="e">
        <f>'04_GSM_SMS-EMS-MMS-Email'!#REF!</f>
        <v>#REF!</v>
      </c>
    </row>
    <row r="336" spans="1:3" ht="12.75">
      <c r="A336">
        <f>IF(ISERR(C333),A333,IF(C333="",A333,A333+1))</f>
        <v>13</v>
      </c>
      <c r="B336" t="s">
        <v>950</v>
      </c>
      <c r="C336" s="61">
        <f>IF(ISERR(C337),"",IF(C337="","",'04_GSM_SMS-EMS-MMS-Email'!#REF!))</f>
      </c>
    </row>
    <row r="337" ht="12.75">
      <c r="C337" t="e">
        <f>'04_GSM_SMS-EMS-MMS-Email'!#REF!</f>
        <v>#REF!</v>
      </c>
    </row>
    <row r="339" spans="1:3" ht="12.75">
      <c r="A339">
        <f>IF(ISERR(C336),A336,IF(C336="",A336,A336+1))</f>
        <v>13</v>
      </c>
      <c r="B339" t="s">
        <v>950</v>
      </c>
      <c r="C339" s="61">
        <f>IF(ISERR(C340),"",IF(C340="","",'04_GSM_SMS-EMS-MMS-Email'!#REF!))</f>
      </c>
    </row>
    <row r="340" ht="12.75">
      <c r="C340" t="e">
        <f>'04_GSM_SMS-EMS-MMS-Email'!#REF!</f>
        <v>#REF!</v>
      </c>
    </row>
    <row r="342" spans="1:3" ht="12.75">
      <c r="A342">
        <f>IF(ISERR(C339),A339,IF(C339="",A339,A339+1))</f>
        <v>13</v>
      </c>
      <c r="B342" t="s">
        <v>950</v>
      </c>
      <c r="C342" s="61">
        <f>IF(ISERR(C343),"",IF(C343="","",'04_GSM_SMS-EMS-MMS-Email'!#REF!))</f>
      </c>
    </row>
    <row r="343" ht="12.75">
      <c r="C343" t="e">
        <f>'04_GSM_SMS-EMS-MMS-Email'!#REF!</f>
        <v>#REF!</v>
      </c>
    </row>
    <row r="345" spans="1:3" ht="12.75">
      <c r="A345">
        <f>IF(ISERR(C342),A342,IF(C342="",A342,A342+1))</f>
        <v>13</v>
      </c>
      <c r="B345" t="s">
        <v>950</v>
      </c>
      <c r="C345" s="61">
        <f>IF(ISERR(C346),"",IF(C346="","",'04_GSM_SMS-EMS-MMS-Email'!#REF!))</f>
      </c>
    </row>
    <row r="346" ht="12.75">
      <c r="C346" t="e">
        <f>'04_GSM_SMS-EMS-MMS-Email'!#REF!</f>
        <v>#REF!</v>
      </c>
    </row>
    <row r="348" spans="1:3" ht="12.75">
      <c r="A348">
        <f>IF(ISERR(C345),A345,IF(C345="",A345,A345+1))</f>
        <v>13</v>
      </c>
      <c r="B348" t="s">
        <v>950</v>
      </c>
      <c r="C348" s="61">
        <f>IF(ISERR(C349),"",IF(C349="","",'04_GSM_SMS-EMS-MMS-Email'!#REF!))</f>
      </c>
    </row>
    <row r="349" ht="12.75">
      <c r="C349" t="e">
        <f>'04_GSM_SMS-EMS-MMS-Email'!#REF!</f>
        <v>#REF!</v>
      </c>
    </row>
    <row r="351" spans="1:3" ht="12.75">
      <c r="A351">
        <f>IF(ISERR(C348),A348,IF(C348="",A348,A348+1))</f>
        <v>13</v>
      </c>
      <c r="B351" t="s">
        <v>950</v>
      </c>
      <c r="C351" s="61">
        <f>IF(ISERR(C352),"",IF(C352="","",'04_GSM_SMS-EMS-MMS-Email'!#REF!))</f>
      </c>
    </row>
    <row r="352" ht="12.75">
      <c r="C352" t="e">
        <f>'04_GSM_SMS-EMS-MMS-Email'!#REF!</f>
        <v>#REF!</v>
      </c>
    </row>
    <row r="354" spans="1:3" ht="12.75">
      <c r="A354">
        <f>IF(ISERR(C351),A351,IF(C351="",A351,A351+1))</f>
        <v>13</v>
      </c>
      <c r="B354" t="s">
        <v>950</v>
      </c>
      <c r="C354" s="61">
        <f>IF(ISERR(C355),"",IF(C355="","",'04_GSM_SMS-EMS-MMS-Email'!#REF!))</f>
      </c>
    </row>
    <row r="355" ht="12.75">
      <c r="C355" t="e">
        <f>'04_GSM_SMS-EMS-MMS-Email'!#REF!</f>
        <v>#REF!</v>
      </c>
    </row>
    <row r="357" spans="1:3" ht="12.75">
      <c r="A357">
        <f>IF(ISERR(C354),A354,IF(C354="",A354,A354+1))</f>
        <v>13</v>
      </c>
      <c r="B357" t="s">
        <v>950</v>
      </c>
      <c r="C357" s="61">
        <f>IF(ISERR(C358),"",IF(C358="","",'04_GSM_SMS-EMS-MMS-Email'!#REF!))</f>
      </c>
    </row>
    <row r="358" ht="12.75">
      <c r="C358" t="e">
        <f>'04_GSM_SMS-EMS-MMS-Email'!#REF!</f>
        <v>#REF!</v>
      </c>
    </row>
    <row r="360" spans="1:3" ht="12.75">
      <c r="A360">
        <f>IF(ISERR(C357),A357,IF(C357="",A357,A357+1))</f>
        <v>13</v>
      </c>
      <c r="B360" t="s">
        <v>950</v>
      </c>
      <c r="C360" s="61">
        <f>IF(ISERR(C361),"",IF(C361="","",'04_GSM_SMS-EMS-MMS-Email'!#REF!))</f>
      </c>
    </row>
    <row r="361" ht="12.75">
      <c r="C361" t="e">
        <f>'04_GSM_SMS-EMS-MMS-Email'!#REF!</f>
        <v>#REF!</v>
      </c>
    </row>
    <row r="363" spans="1:3" ht="12.75">
      <c r="A363">
        <f>IF(ISERR(C360),A360,IF(C360="",A360,A360+1))</f>
        <v>13</v>
      </c>
      <c r="B363" t="s">
        <v>950</v>
      </c>
      <c r="C363" s="61">
        <f>IF(ISERR(C364),"",IF(C364="","",'04_GSM_SMS-EMS-MMS-Email'!#REF!))</f>
      </c>
    </row>
    <row r="364" ht="12.75">
      <c r="C364" t="e">
        <f>'04_GSM_SMS-EMS-MMS-Email'!#REF!</f>
        <v>#REF!</v>
      </c>
    </row>
    <row r="366" spans="1:3" ht="12.75">
      <c r="A366">
        <f>IF(ISERR(C363),A363,IF(C363="",A363,A363+1))</f>
        <v>13</v>
      </c>
      <c r="B366" t="s">
        <v>950</v>
      </c>
      <c r="C366" s="61">
        <f>IF(ISERR(C367),"",IF(C367="","",'04_GSM_SMS-EMS-MMS-Email'!#REF!))</f>
      </c>
    </row>
    <row r="367" ht="12.75">
      <c r="C367" t="e">
        <f>'04_GSM_SMS-EMS-MMS-Email'!#REF!</f>
        <v>#REF!</v>
      </c>
    </row>
    <row r="369" spans="1:3" ht="12.75">
      <c r="A369">
        <f>IF(ISERR(C366),A366,IF(C366="",A366,A366+1))</f>
        <v>13</v>
      </c>
      <c r="B369" t="s">
        <v>950</v>
      </c>
      <c r="C369" s="61">
        <f>IF(ISERR(C370),"",IF(C370="","",'04_GSM_SMS-EMS-MMS-Email'!#REF!))</f>
      </c>
    </row>
    <row r="370" ht="12.75">
      <c r="C370" t="e">
        <f>'04_GSM_SMS-EMS-MMS-Email'!#REF!</f>
        <v>#REF!</v>
      </c>
    </row>
    <row r="372" spans="1:3" ht="12.75">
      <c r="A372">
        <f>IF(ISERR(C369),A369,IF(C369="",A369,A369+1))</f>
        <v>13</v>
      </c>
      <c r="B372" t="s">
        <v>950</v>
      </c>
      <c r="C372" s="61">
        <f>IF(ISERR(C373),"",IF(C373="","",'04_GSM_SMS-EMS-MMS-Email'!#REF!))</f>
      </c>
    </row>
    <row r="373" ht="12.75">
      <c r="C373" t="e">
        <f>'04_GSM_SMS-EMS-MMS-Email'!#REF!</f>
        <v>#REF!</v>
      </c>
    </row>
    <row r="375" spans="1:3" ht="12.75">
      <c r="A375">
        <f>IF(ISERR(C372),A372,IF(C372="",A372,A372+1))</f>
        <v>13</v>
      </c>
      <c r="B375" t="s">
        <v>950</v>
      </c>
      <c r="C375" s="61">
        <f>IF(ISERR(C376),"",IF(C376="","",'04_GSM_SMS-EMS-MMS-Email'!#REF!))</f>
      </c>
    </row>
    <row r="376" ht="12.75">
      <c r="C376" t="e">
        <f>'04_GSM_SMS-EMS-MMS-Email'!#REF!</f>
        <v>#REF!</v>
      </c>
    </row>
    <row r="378" spans="1:3" ht="12.75">
      <c r="A378">
        <f>IF(ISERR(C375),A375,IF(C375="",A375,A375+1))</f>
        <v>13</v>
      </c>
      <c r="B378" t="s">
        <v>950</v>
      </c>
      <c r="C378" s="61">
        <f>IF(ISERR(C379),"",IF(C379="","",'06_GPRS_GSM'!B3))</f>
      </c>
    </row>
    <row r="379" ht="12.75">
      <c r="C379">
        <f>'06_GPRS_GSM'!V3</f>
      </c>
    </row>
    <row r="381" spans="1:3" ht="12.75">
      <c r="A381">
        <f>IF(ISERR(C378),A378,IF(C378="",A378,A378+1))</f>
        <v>13</v>
      </c>
      <c r="B381" t="s">
        <v>950</v>
      </c>
      <c r="C381" s="61" t="str">
        <f>IF(ISERR(C382),"",IF(C382="","",'06_GPRS_GSM'!B4))</f>
        <v>GPRS Attach string</v>
      </c>
    </row>
    <row r="382" ht="12.75">
      <c r="C382" t="str">
        <f>'06_GPRS_GSM'!V4</f>
        <v>DL_DB_FEATURE_ID_GPRS_STATUS_STRING - GPRS</v>
      </c>
    </row>
    <row r="384" spans="1:3" ht="12.75">
      <c r="A384">
        <f>IF(ISERR(C381),A381,IF(C381="",A381,A381+1))</f>
        <v>14</v>
      </c>
      <c r="B384" t="s">
        <v>950</v>
      </c>
      <c r="C384" s="61">
        <f>IF(ISERR(C385),"",IF(C385="","",'06_GPRS_GSM'!#REF!))</f>
      </c>
    </row>
    <row r="385" ht="12.75">
      <c r="C385" t="e">
        <f>'06_GPRS_GSM'!#REF!</f>
        <v>#REF!</v>
      </c>
    </row>
    <row r="387" spans="1:3" ht="12.75">
      <c r="A387">
        <f>IF(ISERR(C384),A384,IF(C384="",A384,A384+1))</f>
        <v>14</v>
      </c>
      <c r="B387" t="s">
        <v>950</v>
      </c>
      <c r="C387" s="61">
        <f>IF(ISERR(C388),"",IF(C388="","",'06_GPRS_GSM'!B5))</f>
      </c>
    </row>
    <row r="388" ht="12.75">
      <c r="C388">
        <f>'06_GPRS_GSM'!V5</f>
      </c>
    </row>
    <row r="390" spans="1:3" ht="12.75">
      <c r="A390">
        <f>IF(ISERR(C387),A387,IF(C387="",A387,A387+1))</f>
        <v>14</v>
      </c>
      <c r="B390" t="s">
        <v>950</v>
      </c>
      <c r="C390" s="61">
        <f>IF(ISERR(C391),"",IF(C391="","",'06_GPRS_GSM'!B6))</f>
      </c>
    </row>
    <row r="391" ht="12.75">
      <c r="C391">
        <f>'06_GPRS_GSM'!V6</f>
      </c>
    </row>
    <row r="393" spans="1:3" ht="12.75">
      <c r="A393">
        <f>IF(ISERR(C390),A390,IF(C390="",A390,A390+1))</f>
        <v>14</v>
      </c>
      <c r="B393" t="s">
        <v>950</v>
      </c>
      <c r="C393" s="61" t="str">
        <f>IF(ISERR(C394),"",IF(C394="","",'06_GPRS_GSM'!B7))</f>
        <v>Cache Startup</v>
      </c>
    </row>
    <row r="394" ht="12.75">
      <c r="C394" t="str">
        <f>'06_GPRS_GSM'!V7</f>
        <v>DL_DB_FEATURE_ID_BROWSER_SERVICE_STATE - On</v>
      </c>
    </row>
    <row r="396" spans="1:3" ht="12.75">
      <c r="A396">
        <f>IF(ISERR(C393),A393,IF(C393="",A393,A393+1))</f>
        <v>15</v>
      </c>
      <c r="B396" t="s">
        <v>950</v>
      </c>
      <c r="C396" s="61" t="str">
        <f>IF(ISERR(C397),"",IF(C397="","",'06_GPRS_GSM'!B8))</f>
        <v>GPRS Linger time (seconds)</v>
      </c>
    </row>
    <row r="397" ht="12.75">
      <c r="C397" t="str">
        <f>'06_GPRS_GSM'!V8</f>
        <v>DL_DB_FEATURE_ID_GPRS_IDLE_TIMEOUT - 90</v>
      </c>
    </row>
    <row r="399" spans="1:3" ht="12.75">
      <c r="A399">
        <f>IF(ISERR(C396),A396,IF(C396="",A396,A396+1))</f>
        <v>16</v>
      </c>
      <c r="B399" t="s">
        <v>950</v>
      </c>
      <c r="C399" s="61">
        <f>IF(ISERR(C400),"",IF(C400="","",#REF!))</f>
      </c>
    </row>
    <row r="400" ht="12.75">
      <c r="C400" t="e">
        <f>#REF!</f>
        <v>#REF!</v>
      </c>
    </row>
    <row r="402" spans="1:3" ht="12.75">
      <c r="A402">
        <f>IF(ISERR(C399),A399,IF(C399="",A399,A399+1))</f>
        <v>16</v>
      </c>
      <c r="B402" t="s">
        <v>950</v>
      </c>
      <c r="C402" s="61">
        <f>IF(ISERR(C403),"",IF(C403="","",#REF!))</f>
      </c>
    </row>
    <row r="403" ht="12.75">
      <c r="C403" t="e">
        <f>#REF!</f>
        <v>#REF!</v>
      </c>
    </row>
    <row r="405" spans="1:3" ht="12.75">
      <c r="A405">
        <f>IF(ISERR(C402),A402,IF(C402="",A402,A402+1))</f>
        <v>16</v>
      </c>
      <c r="B405" t="s">
        <v>950</v>
      </c>
      <c r="C405" s="61">
        <f>IF(ISERR(C406),"",IF(C406="","",#REF!))</f>
      </c>
    </row>
    <row r="406" ht="12.75">
      <c r="C406" t="e">
        <f>#REF!</f>
        <v>#REF!</v>
      </c>
    </row>
    <row r="408" spans="1:3" ht="12.75">
      <c r="A408">
        <f>IF(ISERR(C405),A405,IF(C405="",A405,A405+1))</f>
        <v>16</v>
      </c>
      <c r="B408" t="s">
        <v>950</v>
      </c>
      <c r="C408" s="61">
        <f>IF(ISERR(C409),"",IF(C409="","",#REF!))</f>
      </c>
    </row>
    <row r="409" ht="12.75">
      <c r="C409" t="e">
        <f>#REF!</f>
        <v>#REF!</v>
      </c>
    </row>
    <row r="411" spans="1:3" ht="12.75">
      <c r="A411">
        <f>IF(ISERR(C408),A408,IF(C408="",A408,A408+1))</f>
        <v>16</v>
      </c>
      <c r="B411" t="s">
        <v>950</v>
      </c>
      <c r="C411" s="61">
        <f>IF(ISERR(C412),"",IF(C412="","",#REF!))</f>
      </c>
    </row>
    <row r="412" ht="12.75">
      <c r="C412" t="e">
        <f>#REF!</f>
        <v>#REF!</v>
      </c>
    </row>
    <row r="414" spans="1:3" ht="12.75">
      <c r="A414">
        <f>IF(ISERR(C411),A411,IF(C411="",A411,A411+1))</f>
        <v>16</v>
      </c>
      <c r="B414" t="s">
        <v>950</v>
      </c>
      <c r="C414" s="61">
        <f>IF(ISERR(C415),"",IF(C415="","",#REF!))</f>
      </c>
    </row>
    <row r="415" ht="12.75">
      <c r="C415" t="e">
        <f>#REF!</f>
        <v>#REF!</v>
      </c>
    </row>
    <row r="417" spans="1:3" ht="12.75">
      <c r="A417">
        <f>IF(ISERR(C414),A414,IF(C414="",A414,A414+1))</f>
        <v>16</v>
      </c>
      <c r="B417" t="s">
        <v>950</v>
      </c>
      <c r="C417" s="61">
        <f>IF(ISERR(C418),"",IF(C418="","",#REF!))</f>
      </c>
    </row>
    <row r="418" ht="12.75">
      <c r="C418" t="e">
        <f>#REF!</f>
        <v>#REF!</v>
      </c>
    </row>
    <row r="420" spans="1:3" ht="12.75">
      <c r="A420">
        <f>IF(ISERR(C417),A417,IF(C417="",A417,A417+1))</f>
        <v>16</v>
      </c>
      <c r="B420" t="s">
        <v>950</v>
      </c>
      <c r="C420" s="61">
        <f>IF(ISERR(C421),"",IF(C421="","",#REF!))</f>
      </c>
    </row>
    <row r="421" ht="12.75">
      <c r="C421" t="e">
        <f>#REF!</f>
        <v>#REF!</v>
      </c>
    </row>
    <row r="423" spans="1:3" ht="12.75">
      <c r="A423">
        <f>IF(ISERR(C420),A420,IF(C420="",A420,A420+1))</f>
        <v>16</v>
      </c>
      <c r="B423" t="s">
        <v>950</v>
      </c>
      <c r="C423" s="61">
        <f>IF(ISERR(C424),"",IF(C424="","",#REF!))</f>
      </c>
    </row>
    <row r="424" ht="12.75">
      <c r="C424" t="e">
        <f>#REF!</f>
        <v>#REF!</v>
      </c>
    </row>
    <row r="426" spans="1:3" ht="12.75">
      <c r="A426">
        <f>IF(ISERR(C423),A423,IF(C423="",A423,A423+1))</f>
        <v>16</v>
      </c>
      <c r="B426" t="s">
        <v>950</v>
      </c>
      <c r="C426" s="61">
        <f>IF(ISERR(C427),"",IF(C427="","",#REF!))</f>
      </c>
    </row>
    <row r="427" ht="12.75">
      <c r="C427" t="e">
        <f>#REF!</f>
        <v>#REF!</v>
      </c>
    </row>
    <row r="429" spans="1:3" ht="12.75">
      <c r="A429">
        <f>IF(ISERR(C426),A426,IF(C426="",A426,A426+1))</f>
        <v>16</v>
      </c>
      <c r="B429" t="s">
        <v>950</v>
      </c>
      <c r="C429" s="61">
        <f>IF(ISERR(C430),"",IF(C430="","",#REF!))</f>
      </c>
    </row>
    <row r="430" ht="12.75">
      <c r="C430" t="e">
        <f>#REF!</f>
        <v>#REF!</v>
      </c>
    </row>
    <row r="432" spans="1:3" ht="12.75">
      <c r="A432">
        <f>IF(ISERR(C429),A429,IF(C429="",A429,A429+1))</f>
        <v>16</v>
      </c>
      <c r="B432" t="s">
        <v>950</v>
      </c>
      <c r="C432" s="61">
        <f>IF(ISERR(C433),"",IF(C433="","",#REF!))</f>
      </c>
    </row>
    <row r="433" ht="12.75">
      <c r="C433" t="e">
        <f>#REF!</f>
        <v>#REF!</v>
      </c>
    </row>
    <row r="435" spans="1:3" ht="12.75">
      <c r="A435">
        <f>IF(ISERR(C432),A432,IF(C432="",A432,A432+1))</f>
        <v>16</v>
      </c>
      <c r="B435" t="s">
        <v>950</v>
      </c>
      <c r="C435" s="61">
        <f>IF(ISERR(C436),"",IF(C436="","",#REF!))</f>
      </c>
    </row>
    <row r="436" ht="12.75">
      <c r="C436" t="e">
        <f>#REF!</f>
        <v>#REF!</v>
      </c>
    </row>
    <row r="438" spans="1:3" ht="12.75">
      <c r="A438">
        <f>IF(ISERR(C435),A435,IF(C435="",A435,A435+1))</f>
        <v>16</v>
      </c>
      <c r="B438" t="s">
        <v>950</v>
      </c>
      <c r="C438" s="61">
        <f>IF(ISERR(C439),"",IF(C439="","",#REF!))</f>
      </c>
    </row>
    <row r="439" ht="12.75">
      <c r="C439" t="e">
        <f>#REF!</f>
        <v>#REF!</v>
      </c>
    </row>
    <row r="441" spans="1:3" ht="12.75">
      <c r="A441">
        <f>IF(ISERR(C438),A438,IF(C438="",A438,A438+1))</f>
        <v>16</v>
      </c>
      <c r="B441" t="s">
        <v>950</v>
      </c>
      <c r="C441" s="61">
        <f>IF(ISERR(C442),"",IF(C442="","",#REF!))</f>
      </c>
    </row>
    <row r="442" ht="12.75">
      <c r="C442" t="e">
        <f>#REF!</f>
        <v>#REF!</v>
      </c>
    </row>
    <row r="444" spans="1:3" ht="12.75">
      <c r="A444">
        <f>IF(ISERR(C441),A441,IF(C441="",A441,A441+1))</f>
        <v>16</v>
      </c>
      <c r="B444" t="s">
        <v>950</v>
      </c>
      <c r="C444" s="61">
        <f>IF(ISERR(C445),"",IF(C445="","",#REF!))</f>
      </c>
    </row>
    <row r="445" ht="12.75">
      <c r="C445" t="e">
        <f>#REF!</f>
        <v>#REF!</v>
      </c>
    </row>
    <row r="447" spans="1:3" ht="12.75">
      <c r="A447">
        <f>IF(ISERR(C444),A444,IF(C444="",A444,A444+1))</f>
        <v>16</v>
      </c>
      <c r="B447" t="s">
        <v>950</v>
      </c>
      <c r="C447" s="61">
        <f>IF(ISERR(C448),"",IF(C448="","",#REF!))</f>
      </c>
    </row>
    <row r="448" ht="12.75">
      <c r="C448" t="e">
        <f>#REF!</f>
        <v>#REF!</v>
      </c>
    </row>
    <row r="450" spans="1:3" ht="12.75">
      <c r="A450">
        <f>IF(ISERR(C447),A447,IF(C447="",A447,A447+1))</f>
        <v>16</v>
      </c>
      <c r="B450" t="s">
        <v>950</v>
      </c>
      <c r="C450" s="61">
        <f>IF(ISERR(C451),"",IF(C451="","",#REF!))</f>
      </c>
    </row>
    <row r="451" ht="12.75">
      <c r="C451" t="e">
        <f>#REF!</f>
        <v>#REF!</v>
      </c>
    </row>
    <row r="453" spans="1:3" ht="12.75">
      <c r="A453">
        <f>IF(ISERR(C450),A450,IF(C450="",A450,A450+1))</f>
        <v>16</v>
      </c>
      <c r="B453" t="s">
        <v>950</v>
      </c>
      <c r="C453" s="61">
        <f>IF(ISERR(C454),"",IF(C454="","",#REF!))</f>
      </c>
    </row>
    <row r="454" ht="12.75">
      <c r="C454" t="e">
        <f>#REF!</f>
        <v>#REF!</v>
      </c>
    </row>
    <row r="456" spans="1:3" ht="12.75">
      <c r="A456">
        <f>IF(ISERR(C453),A453,IF(C453="",A453,A453+1))</f>
        <v>16</v>
      </c>
      <c r="B456" t="s">
        <v>950</v>
      </c>
      <c r="C456" s="61">
        <f>IF(ISERR(C457),"",IF(C457="","",#REF!))</f>
      </c>
    </row>
    <row r="457" ht="12.75">
      <c r="C457" t="e">
        <f>#REF!</f>
        <v>#REF!</v>
      </c>
    </row>
    <row r="459" spans="1:3" ht="12.75">
      <c r="A459">
        <f>IF(ISERR(C456),A456,IF(C456="",A456,A456+1))</f>
        <v>16</v>
      </c>
      <c r="B459" t="s">
        <v>950</v>
      </c>
      <c r="C459" t="str">
        <f>'02_Media_Personalization '!V4</f>
        <v>Power Up Graphic: Movistar GSM Wakeup.gif</v>
      </c>
    </row>
    <row r="462" spans="1:3" ht="12.75">
      <c r="A462">
        <f>IF(ISERR(C459),A459,IF(C459="",A459,A459+1))</f>
        <v>17</v>
      </c>
      <c r="B462" t="s">
        <v>950</v>
      </c>
      <c r="C462" t="str">
        <f>'02_Media_Personalization '!V5</f>
        <v>Power Down Graphic: Movistar GSM Shutdown.gif</v>
      </c>
    </row>
    <row r="465" spans="1:3" ht="12.75">
      <c r="A465">
        <f>IF(ISERR(C462),A462,IF(C462="",A462,A462+1))</f>
        <v>18</v>
      </c>
      <c r="B465" t="s">
        <v>950</v>
      </c>
      <c r="C465" t="str">
        <f>'02_Media_Personalization '!V6</f>
        <v>Default Wallpaper: Movistar GSM WP.gif</v>
      </c>
    </row>
    <row r="468" spans="1:3" ht="12.75">
      <c r="A468">
        <f>IF(ISERR(C465),A465,IF(C465="",A465,A465+1))</f>
        <v>19</v>
      </c>
      <c r="B468" t="s">
        <v>950</v>
      </c>
      <c r="C468" t="str">
        <f>'02_Media_Personalization '!V7</f>
        <v>Default Screen Saver: Movistar GSM SS.gif</v>
      </c>
    </row>
    <row r="471" spans="1:3" ht="12.75">
      <c r="A471">
        <f>IF(ISERR(C468),A468,IF(C468="",A468,A468+1))</f>
        <v>20</v>
      </c>
      <c r="B471" t="s">
        <v>950</v>
      </c>
      <c r="C471" t="e">
        <f>'02_Media_Personalization '!#REF!</f>
        <v>#REF!</v>
      </c>
    </row>
    <row r="474" spans="1:3" ht="12.75">
      <c r="A474">
        <f>IF(ISERR(C471),A471,IF(C471="",A471,A471+1))</f>
        <v>20</v>
      </c>
      <c r="B474" t="s">
        <v>950</v>
      </c>
      <c r="C474">
        <f>'02_Media_Personalization '!V8</f>
      </c>
    </row>
    <row r="477" spans="1:3" ht="12.75">
      <c r="A477">
        <f>IF(ISERR(C474),A474,IF(C474="",A474,A474+1))</f>
        <v>20</v>
      </c>
      <c r="B477" t="s">
        <v>950</v>
      </c>
      <c r="C477" t="e">
        <f>'02_Media_Personalization '!#REF!</f>
        <v>#REF!</v>
      </c>
    </row>
    <row r="480" spans="1:3" ht="12.75">
      <c r="A480">
        <f>IF(ISERR(C477),A477,IF(C477="",A477,A477+1))</f>
        <v>20</v>
      </c>
      <c r="B480" t="s">
        <v>950</v>
      </c>
      <c r="C480" t="e">
        <f>'02_Media_Personalization '!#REF!</f>
        <v>#REF!</v>
      </c>
    </row>
    <row r="483" spans="1:3" ht="12.75">
      <c r="A483">
        <f>IF(ISERR(C480),A480,IF(C480="",A480,A480+1))</f>
        <v>20</v>
      </c>
      <c r="B483" t="s">
        <v>950</v>
      </c>
      <c r="C483" t="e">
        <f>'02_Media_Personalization '!#REF!</f>
        <v>#REF!</v>
      </c>
    </row>
    <row r="486" spans="1:3" ht="12.75">
      <c r="A486">
        <f>IF(ISERR(C483),A483,IF(C483="",A483,A483+1))</f>
        <v>20</v>
      </c>
      <c r="B486" t="s">
        <v>950</v>
      </c>
      <c r="C486" t="e">
        <f>'02_Media_Personalization '!#REF!</f>
        <v>#REF!</v>
      </c>
    </row>
    <row r="489" spans="1:3" ht="12.75">
      <c r="A489">
        <f>IF(ISERR(C486),A486,IF(C486="",A486,A486+1))</f>
        <v>20</v>
      </c>
      <c r="B489" t="s">
        <v>950</v>
      </c>
      <c r="C489" t="e">
        <f>'02_Media_Personalization '!#REF!</f>
        <v>#REF!</v>
      </c>
    </row>
    <row r="492" spans="1:3" ht="12.75">
      <c r="A492">
        <f>IF(ISERR(C489),A489,IF(C489="",A489,A489+1))</f>
        <v>20</v>
      </c>
      <c r="B492" t="s">
        <v>950</v>
      </c>
      <c r="C492" t="str">
        <f>'02_Media_Personalization '!V11</f>
        <v>Left Soft Key: Message</v>
      </c>
    </row>
    <row r="495" spans="1:3" ht="12.75">
      <c r="A495">
        <f>IF(ISERR(C492),A492,IF(C492="",A492,A492+1))</f>
        <v>21</v>
      </c>
      <c r="B495" t="s">
        <v>950</v>
      </c>
      <c r="C495" t="str">
        <f>'02_Media_Personalization '!V12</f>
        <v>Right Soft Key: Browser</v>
      </c>
    </row>
    <row r="498" spans="1:3" ht="12.75">
      <c r="A498">
        <f>IF(ISERR(C495),A495,IF(C495="",A495,A495+1))</f>
        <v>22</v>
      </c>
      <c r="B498" t="s">
        <v>950</v>
      </c>
      <c r="C498" t="str">
        <f>'02_Media_Personalization '!V13</f>
        <v>Camera</v>
      </c>
    </row>
    <row r="501" spans="1:3" ht="12.75">
      <c r="A501">
        <f>IF(ISERR(C498),A498,IF(C498="",A498,A498+1))</f>
        <v>23</v>
      </c>
      <c r="B501" t="s">
        <v>950</v>
      </c>
      <c r="C501">
        <f>'02_Media_Personalization '!V14</f>
      </c>
    </row>
    <row r="504" spans="1:3" ht="12.75">
      <c r="A504">
        <f>IF(ISERR(C501),A501,IF(C501="",A501,A501+1))</f>
        <v>23</v>
      </c>
      <c r="B504" t="s">
        <v>950</v>
      </c>
      <c r="C504" t="str">
        <f>'02_Media_Personalization '!V15</f>
        <v>Ring &amp; Vibrate</v>
      </c>
    </row>
    <row r="507" spans="1:3" ht="12.75">
      <c r="A507">
        <f>IF(ISERR(C504),A504,IF(C504="",A504,A504+1))</f>
        <v>24</v>
      </c>
      <c r="B507" t="s">
        <v>950</v>
      </c>
      <c r="C507" t="str">
        <f>'02_Media_Personalization '!V16</f>
        <v>Default Ringtone: Hyperactive</v>
      </c>
    </row>
    <row r="510" spans="1:3" ht="12.75">
      <c r="A510">
        <f>IF(ISERR(C507),A507,IF(C507="",A507,A507+1))</f>
        <v>25</v>
      </c>
      <c r="B510" t="s">
        <v>950</v>
      </c>
      <c r="C510" t="str">
        <f>IF(C512&lt;&gt;"","Add the following WAP Shortcuts:","")</f>
        <v>Add the following WAP Shortcuts:</v>
      </c>
    </row>
    <row r="512" ht="12.75">
      <c r="C512" t="str">
        <f>'06_GPRS_GSM'!V9</f>
        <v>Hellomoto: Hellomoto</v>
      </c>
    </row>
    <row r="513" ht="12.75">
      <c r="C513" t="str">
        <f>'06_GPRS_GSM'!V10</f>
        <v>Hellomoto URL: http://www.hellomoto.com</v>
      </c>
    </row>
    <row r="515" ht="12.75">
      <c r="C515">
        <f>'06_GPRS_GSM'!V11</f>
      </c>
    </row>
    <row r="516" ht="12.75">
      <c r="C516">
        <f>'06_GPRS_GSM'!V12</f>
      </c>
    </row>
    <row r="518" ht="12.75">
      <c r="C518">
        <f>'06_GPRS_GSM'!V13</f>
      </c>
    </row>
    <row r="519" ht="12.75">
      <c r="C519">
        <f>'06_GPRS_GSM'!V14</f>
      </c>
    </row>
    <row r="521" ht="12.75">
      <c r="C521">
        <f>'06_GPRS_GSM'!V15</f>
      </c>
    </row>
    <row r="522" ht="12.75">
      <c r="C522">
        <f>'06_GPRS_GSM'!V16</f>
      </c>
    </row>
    <row r="524" ht="12.75">
      <c r="C524">
        <f>'06_GPRS_GSM'!V17</f>
      </c>
    </row>
    <row r="525" ht="12.75">
      <c r="C525">
        <f>'06_GPRS_GSM'!V18</f>
      </c>
    </row>
    <row r="527" ht="12.75">
      <c r="C527">
        <f>'06_GPRS_GSM'!V19</f>
      </c>
    </row>
    <row r="528" ht="12.75">
      <c r="C528">
        <f>'06_GPRS_GSM'!V20</f>
      </c>
    </row>
    <row r="530" spans="1:3" ht="12.75">
      <c r="A530">
        <f>IF(ISERR(A510),A510,IF(C510="",A510,A510+1))</f>
        <v>26</v>
      </c>
      <c r="B530" t="s">
        <v>950</v>
      </c>
      <c r="C530" t="str">
        <f>IF(C531&lt;&gt;"","Set Quick Notes to:","")</f>
        <v>Set Quick Notes to:</v>
      </c>
    </row>
    <row r="531" ht="12.75">
      <c r="C531" t="str">
        <f>IF('04_GSM_SMS-EMS-MMS-Email'!G15="Portuguese","a. Ligue para mim.",IF('04_GSM_SMS-EMS-MMS-Email'!G15="Spanish","a. Te llamo más tarde",IF('04_GSM_SMS-EMS-MMS-Email'!G15="English","a. Yes",IF('04_GSM_SMS-EMS-MMS-Email'!G15="Spanish (Mexico)","a.¿Dónde andas?",IF('04_GSM_SMS-EMS-MMS-Email'!G15="none","None (Erease all Quick Notes)","")))))</f>
        <v>a. Te llamo más tarde</v>
      </c>
    </row>
    <row r="532" ht="12.75">
      <c r="C532" t="str">
        <f>IF('04_GSM_SMS-EMS-MMS-Email'!G15="Portuguese","b. Telefone para minha casa.",IF('04_GSM_SMS-EMS-MMS-Email'!G15="Spanish","b. Llámame",IF('04_GSM_SMS-EMS-MMS-Email'!G15="English","b. Where are you?",IF('04_GSM_SMS-EMS-MMS-Email'!G15="Spanish (Mexico)","b.Hola, ¿cómo estás?",IF('04_GSM_SMS-EMS-MMS-Email'!G15="none","","")))))</f>
        <v>b. Llámame</v>
      </c>
    </row>
    <row r="533" ht="12.75">
      <c r="C533" t="str">
        <f>IF('04_GSM_SMS-EMS-MMS-Email'!G15="Portuguese","c. Telefone para o meu escritorio.",IF('04_GSM_SMS-EMS-MMS-Email'!G15="Spanish","c. A qué número te llamo?",IF('04_GSM_SMS-EMS-MMS-Email'!G15="English","c. Will call later",IF('04_GSM_SMS-EMS-MMS-Email'!G15="Spanish (Mexico)","c.Háblame, me urge",IF('04_GSM_SMS-EMS-MMS-Email'!G15="none","","")))))</f>
        <v>c. A qué número te llamo?</v>
      </c>
    </row>
    <row r="534" ht="12.75">
      <c r="C534" t="str">
        <f>IF('04_GSM_SMS-EMS-MMS-Email'!G15="Portuguese","d. Estou ocupado.",IF('04_GSM_SMS-EMS-MMS-Email'!G15="Spanish","d. Dónde estás?",IF('04_GSM_SMS-EMS-MMS-Email'!G15="English","d. No",IF('04_GSM_SMS-EMS-MMS-Email'!G15="Spanish (Mexico)","d.Estoy ocupado al rato te hablo",IF('04_GSM_SMS-EMS-MMS-Email'!G15="none","","")))))</f>
        <v>d. Dónde estás?</v>
      </c>
    </row>
    <row r="535" ht="12.75">
      <c r="C535" t="str">
        <f>IF('04_GSM_SMS-EMS-MMS-Email'!G15="Portuguese","e. Chamarei mais tarde.",IF('04_GSM_SMS-EMS-MMS-Email'!G15="Spanish","e. Estoy ocupado/a",IF('04_GSM_SMS-EMS-MMS-Email'!G15="English","e. Call me",IF('04_GSM_SMS-EMS-MMS-Email'!G15="Spanish (Mexico)","e.Háblame cuando puedas",IF('04_GSM_SMS-EMS-MMS-Email'!G15="none","","")))))</f>
        <v>e. Estoy ocupado/a</v>
      </c>
    </row>
    <row r="536" ht="12.75">
      <c r="C536" t="str">
        <f>IF('04_GSM_SMS-EMS-MMS-Email'!G15="Portuguese","f. Qual e o seu numero?",IF('04_GSM_SMS-EMS-MMS-Email'!G15="Spanish","f. Ya voy en camino",IF('04_GSM_SMS-EMS-MMS-Email'!G15="English","f. Need directions",IF('04_GSM_SMS-EMS-MMS-Email'!G15="Spanish (Mexico)","f.Llego más tarde",IF('04_GSM_SMS-EMS-MMS-Email'!G15="none","","")))))</f>
        <v>f. Ya voy en camino</v>
      </c>
    </row>
    <row r="537" ht="12.75">
      <c r="C537" t="str">
        <f>IF('04_GSM_SMS-EMS-MMS-Email'!G15="Portuguese","g. Estou a caminho.",IF('04_GSM_SMS-EMS-MMS-Email'!G15="Spanish","g. Llego en 15 minutos",IF('04_GSM_SMS-EMS-MMS-Email'!G15="English","g. Busy",IF('04_GSM_SMS-EMS-MMS-Email'!G15="Spanish (Mexico)","g.Recibí tu mensaje, luego te hablo",IF('04_GSM_SMS-EMS-MMS-Email'!G15="none","","")))))</f>
        <v>g. Llego en 15 minutos</v>
      </c>
    </row>
    <row r="538" ht="12.75">
      <c r="C538" t="str">
        <f>IF('04_GSM_SMS-EMS-MMS-Email'!G15="Portuguese","h. Ja estou aqui.",IF('04_GSM_SMS-EMS-MMS-Email'!G15="Spanish","h. Necesito más información",IF('04_GSM_SMS-EMS-MMS-Email'!G15="English","h. On my way",IF('04_GSM_SMS-EMS-MMS-Email'!G15="Spanish (Mexico)","h.¿Qué estas haciendo?",IF('04_GSM_SMS-EMS-MMS-Email'!G15="none","","")))))</f>
        <v>h. Necesito más información</v>
      </c>
    </row>
    <row r="539" ht="12.75">
      <c r="C539" t="str">
        <f>IF('04_GSM_SMS-EMS-MMS-Email'!G15="Portuguese","i. Onde voce esta?",IF('04_GSM_SMS-EMS-MMS-Email'!G15="Spanish","i. Cómo llego?",IF('04_GSM_SMS-EMS-MMS-Email'!G15="English","i. Will arrive in 15 minutes",IF('04_GSM_SMS-EMS-MMS-Email'!G15="Spanish (Mexico)","i.¿A qué hora nos vemos?",IF('04_GSM_SMS-EMS-MMS-Email'!G15="none","","")))))</f>
        <v>i. Cómo llego?</v>
      </c>
    </row>
    <row r="540" ht="12.75">
      <c r="C540" t="str">
        <f>IF('04_GSM_SMS-EMS-MMS-Email'!G15="Portuguese","j. Obrigado",IF('04_GSM_SMS-EMS-MMS-Email'!G15="Spanish","j. Pasá a buscarme",IF('04_GSM_SMS-EMS-MMS-Email'!G15="English","j. Thank you",IF('04_GSM_SMS-EMS-MMS-Email'!G15="Spanish (Mexico)","",IF('04_GSM_SMS-EMS-MMS-Email'!G15="none","","")))))</f>
        <v>j. Pasá a buscarme</v>
      </c>
    </row>
    <row r="541" ht="12.75">
      <c r="C541">
        <f>IF('04_GSM_SMS-EMS-MMS-Email'!G15="Portuguese","",IF('04_GSM_SMS-EMS-MMS-Email'!G15="Spanish","",IF('04_GSM_SMS-EMS-MMS-Email'!G15="English","k. Send # to call",IF('04_GSM_SMS-EMS-MMS-Email'!G15="Spanish (Mexico)","",IF('04_GSM_SMS-EMS-MMS-Email'!G15="none","","")))))</f>
      </c>
    </row>
    <row r="542" ht="12.75">
      <c r="C542">
        <f>IF('04_GSM_SMS-EMS-MMS-Email'!G15="Portuguese","",IF('04_GSM_SMS-EMS-MMS-Email'!G15="Spanish","",IF('04_GSM_SMS-EMS-MMS-Email'!G15="English","l. Pick me up",IF('04_GSM_SMS-EMS-MMS-Email'!G15="Spanish (Mexico)","",IF('04_GSM_SMS-EMS-MMS-Email'!G15="none","","")))))</f>
      </c>
    </row>
    <row r="543" ht="12.75">
      <c r="C543">
        <f>IF('04_GSM_SMS-EMS-MMS-Email'!G15="Portuguese","",IF('04_GSM_SMS-EMS-MMS-Email'!G15="Spanish","",IF('04_GSM_SMS-EMS-MMS-Email'!G15="English","m. Can this wait?",IF('04_GSM_SMS-EMS-MMS-Email'!G15="Spanish (Mexico)","",IF('04_GSM_SMS-EMS-MMS-Email'!G15="none","","")))))</f>
      </c>
    </row>
    <row r="544" ht="12.75">
      <c r="C544">
        <f>IF('04_GSM_SMS-EMS-MMS-Email'!G15="Portuguese","",IF('04_GSM_SMS-EMS-MMS-Email'!G15="Spanish","",IF('04_GSM_SMS-EMS-MMS-Email'!G15="English","n. OK",IF('04_GSM_SMS-EMS-MMS-Email'!G15="Spanish (Mexico)","",IF('04_GSM_SMS-EMS-MMS-Email'!G15="none","","")))))</f>
      </c>
    </row>
    <row r="546" spans="1:3" ht="12.75">
      <c r="A546">
        <f>IF(ISERR(A530),A530,IF(C530="",A530,A530+1))</f>
        <v>27</v>
      </c>
      <c r="B546" t="s">
        <v>950</v>
      </c>
      <c r="C546" s="123">
        <f>IF(ISERR(C220),"",IF(C220="","",CONCATENATE("DL_DB_FEATURE_ID_ITAP_CURRENT_LANGUAGE - ",'01_Initial Setup'!G21)))</f>
      </c>
    </row>
    <row r="547" spans="1:4" ht="12.75">
      <c r="A547">
        <f>IF(ISERR(A546),A546,IF(C546="",A546,A546+1))</f>
        <v>27</v>
      </c>
      <c r="B547" t="s">
        <v>950</v>
      </c>
      <c r="C547">
        <f>IF(ISERR(C220),"",IF(C220="","",CONCATENATE("DL_DB_FEATURE_ID_SMS_ITAP_CURRENT_LANGUAGE - ",'01_Initial Setup'!G21)))</f>
      </c>
      <c r="D547" s="123"/>
    </row>
    <row r="548" spans="1:4" ht="12.75">
      <c r="A548">
        <f aca="true" t="shared" si="0" ref="A548:A556">IF(ISERR(A547),A547,IF(C547="",A547,A547+1))</f>
        <v>27</v>
      </c>
      <c r="B548" t="s">
        <v>950</v>
      </c>
      <c r="C548">
        <f>IF(ISERR(C220),"",IF(C220="","",CONCATENATE("DL_DB_FEATURE_ID_SIMTK_LANGUAGE - ",'01_Initial Setup'!G21)))</f>
      </c>
      <c r="D548" s="123"/>
    </row>
    <row r="549" spans="1:4" ht="12.75">
      <c r="A549">
        <f t="shared" si="0"/>
        <v>27</v>
      </c>
      <c r="B549" t="s">
        <v>950</v>
      </c>
      <c r="C549">
        <f>IF(ISERR(C220),"",IF(C220="","",CONCATENATE("DL_DB_FEATURE_ID_SMS_MSG_LANGUAGE - ",'01_Initial Setup'!G21)))</f>
      </c>
      <c r="D549" s="123"/>
    </row>
    <row r="550" spans="1:4" ht="12.75">
      <c r="A550">
        <f t="shared" si="0"/>
        <v>27</v>
      </c>
      <c r="B550" t="s">
        <v>950</v>
      </c>
      <c r="C550">
        <f>IF(ISERR(C220),"",IF(C220="","",CONCATENATE("DL_DB_FEATURE_ID_SMT_LAST_LANGUAGE - ",'01_Initial Setup'!G21)))</f>
      </c>
      <c r="D550" s="123"/>
    </row>
    <row r="551" spans="1:4" ht="12.75">
      <c r="A551">
        <f t="shared" si="0"/>
        <v>27</v>
      </c>
      <c r="B551" t="s">
        <v>950</v>
      </c>
      <c r="C551">
        <f>IF(ISERR(C220),"",IF(C220="","",CONCATENATE("DL_DB_FEATURE_ID_DEFAULT_LANGUAGE - ",'01_Initial Setup'!G21)))</f>
      </c>
      <c r="D551" s="123"/>
    </row>
    <row r="552" spans="1:4" ht="12.75">
      <c r="A552">
        <f t="shared" si="0"/>
        <v>27</v>
      </c>
      <c r="B552" t="s">
        <v>950</v>
      </c>
      <c r="C552">
        <f>IF(ISERR(C220),"",IF(C220="","",CONCATENATE("DFT_DL_DB_FEATURE_ID_SIMTK_LANGUAGE - ",'01_Initial Setup'!G21)))</f>
      </c>
      <c r="D552" s="124"/>
    </row>
    <row r="553" spans="1:4" ht="12.75">
      <c r="A553">
        <f t="shared" si="0"/>
        <v>27</v>
      </c>
      <c r="B553" t="s">
        <v>950</v>
      </c>
      <c r="C553">
        <f>IF(ISERR(C220),"",IF(C220="","",CONCATENATE("DFT_DL_DB_FEATURE_ID_SMS_ITAP_CURRENT_LANGUAGE - ",'01_Initial Setup'!G21)))</f>
      </c>
      <c r="D553" s="124"/>
    </row>
    <row r="554" spans="1:4" ht="12.75">
      <c r="A554">
        <f t="shared" si="0"/>
        <v>27</v>
      </c>
      <c r="B554" t="s">
        <v>950</v>
      </c>
      <c r="C554">
        <f>IF(ISERR(C220),"",IF(C220="","",CONCATENATE("DFT_DL_DB_FEATURE_ID_DEFAULT_LANGUAGE - ",'01_Initial Setup'!G21)))</f>
      </c>
      <c r="D554" s="124"/>
    </row>
    <row r="555" spans="1:4" ht="12.75">
      <c r="A555">
        <f t="shared" si="0"/>
        <v>27</v>
      </c>
      <c r="B555" t="s">
        <v>950</v>
      </c>
      <c r="C555">
        <f>IF(ISERR(C220),"",IF(C220="","",CONCATENATE("DFT_DL_DB_FEATURE_ID_CURRENT_LANGUAGE - ",'01_Initial Setup'!G21)))</f>
      </c>
      <c r="D555" s="124"/>
    </row>
    <row r="556" spans="1:4" ht="12.75">
      <c r="A556">
        <f t="shared" si="0"/>
        <v>27</v>
      </c>
      <c r="B556" t="s">
        <v>950</v>
      </c>
      <c r="C556">
        <f>IF(ISERR(C220),"",IF(C220="","",CONCATENATE("DFT_DL_DB_FEATURE_ID_ITAP_CURRENT_LANGUAGE - ",'01_Initial Setup'!G21)))</f>
      </c>
      <c r="D556" s="124"/>
    </row>
    <row r="557" ht="12.75">
      <c r="C557" s="15"/>
    </row>
  </sheetData>
  <mergeCells count="29">
    <mergeCell ref="C291:E291"/>
    <mergeCell ref="C4:E4"/>
    <mergeCell ref="C8:E8"/>
    <mergeCell ref="C11:E11"/>
    <mergeCell ref="C14:E14"/>
    <mergeCell ref="C219:E219"/>
    <mergeCell ref="C222:E222"/>
    <mergeCell ref="C225:E225"/>
    <mergeCell ref="C228:E228"/>
    <mergeCell ref="C231:E231"/>
    <mergeCell ref="C234:E234"/>
    <mergeCell ref="C237:E237"/>
    <mergeCell ref="C240:E240"/>
    <mergeCell ref="C243:E243"/>
    <mergeCell ref="C246:E246"/>
    <mergeCell ref="C249:E249"/>
    <mergeCell ref="C264:E264"/>
    <mergeCell ref="C252:E252"/>
    <mergeCell ref="C255:E255"/>
    <mergeCell ref="C258:E258"/>
    <mergeCell ref="C261:E261"/>
    <mergeCell ref="C267:E267"/>
    <mergeCell ref="C270:E270"/>
    <mergeCell ref="C273:E273"/>
    <mergeCell ref="C276:E276"/>
    <mergeCell ref="C279:E279"/>
    <mergeCell ref="C282:E282"/>
    <mergeCell ref="C285:E285"/>
    <mergeCell ref="C288:E288"/>
  </mergeCells>
  <printOptions/>
  <pageMargins left="0.75" right="0.75" top="1" bottom="1" header="0.5" footer="0.5"/>
  <pageSetup orientation="portrait"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2:BD56"/>
  <sheetViews>
    <sheetView showGridLines="0" zoomScale="75" zoomScaleNormal="75" zoomScaleSheetLayoutView="100" workbookViewId="0" topLeftCell="A1">
      <selection activeCell="B21" sqref="B21:D21"/>
    </sheetView>
  </sheetViews>
  <sheetFormatPr defaultColWidth="9.140625" defaultRowHeight="12.75"/>
  <cols>
    <col min="4" max="4" width="9.57421875" style="0" customWidth="1"/>
    <col min="5" max="5" width="16.7109375" style="0" customWidth="1"/>
    <col min="7" max="7" width="13.421875" style="0" customWidth="1"/>
    <col min="9" max="9" width="17.421875" style="0" customWidth="1"/>
    <col min="16" max="16" width="58.28125" style="0" customWidth="1"/>
    <col min="17" max="56" width="0" style="0" hidden="1" customWidth="1"/>
  </cols>
  <sheetData>
    <row r="2" spans="1:16" ht="18">
      <c r="A2" s="309" t="s">
        <v>319</v>
      </c>
      <c r="B2" s="236" t="s">
        <v>1483</v>
      </c>
      <c r="C2" s="236"/>
      <c r="D2" s="236"/>
      <c r="E2" s="236"/>
      <c r="F2" s="236"/>
      <c r="G2" s="236"/>
      <c r="H2" s="236"/>
      <c r="I2" s="236"/>
      <c r="J2" s="236"/>
      <c r="K2" s="236"/>
      <c r="L2" s="236"/>
      <c r="M2" s="236"/>
      <c r="N2" s="236"/>
      <c r="O2" s="236"/>
      <c r="P2" s="69"/>
    </row>
    <row r="3" spans="1:16" ht="12.75">
      <c r="A3" s="310"/>
      <c r="B3" s="237" t="s">
        <v>314</v>
      </c>
      <c r="C3" s="237"/>
      <c r="D3" s="237"/>
      <c r="E3" s="63" t="s">
        <v>536</v>
      </c>
      <c r="F3" s="237" t="s">
        <v>940</v>
      </c>
      <c r="G3" s="237"/>
      <c r="H3" s="237" t="s">
        <v>941</v>
      </c>
      <c r="I3" s="237"/>
      <c r="J3" s="237" t="s">
        <v>317</v>
      </c>
      <c r="K3" s="237"/>
      <c r="L3" s="237"/>
      <c r="M3" s="237"/>
      <c r="N3" s="237"/>
      <c r="O3" s="237"/>
      <c r="P3" s="63" t="s">
        <v>1333</v>
      </c>
    </row>
    <row r="4" spans="1:22" ht="50.25" customHeight="1">
      <c r="A4" s="1">
        <v>2</v>
      </c>
      <c r="B4" s="306" t="s">
        <v>922</v>
      </c>
      <c r="C4" s="307"/>
      <c r="D4" s="307"/>
      <c r="E4" s="64" t="s">
        <v>475</v>
      </c>
      <c r="F4" s="308" t="s">
        <v>425</v>
      </c>
      <c r="G4" s="308"/>
      <c r="H4" s="308"/>
      <c r="I4" s="308"/>
      <c r="J4" s="270" t="s">
        <v>473</v>
      </c>
      <c r="K4" s="270"/>
      <c r="L4" s="270"/>
      <c r="M4" s="270"/>
      <c r="N4" s="270"/>
      <c r="O4" s="270"/>
      <c r="P4" s="70" t="s">
        <v>751</v>
      </c>
      <c r="V4" t="str">
        <f>IF(F4="","",IF(F4=E4,"",CONCATENATE(B4,": ",F4)))</f>
        <v>Power Up Graphic: Movistar GSM Wakeup.gif</v>
      </c>
    </row>
    <row r="5" spans="1:22" ht="50.25" customHeight="1">
      <c r="A5" s="1">
        <f>A4+0.01</f>
        <v>2.01</v>
      </c>
      <c r="B5" s="307" t="s">
        <v>921</v>
      </c>
      <c r="C5" s="307"/>
      <c r="D5" s="307"/>
      <c r="E5" s="64" t="s">
        <v>475</v>
      </c>
      <c r="F5" s="308" t="s">
        <v>426</v>
      </c>
      <c r="G5" s="308"/>
      <c r="H5" s="308"/>
      <c r="I5" s="308"/>
      <c r="J5" s="270" t="s">
        <v>472</v>
      </c>
      <c r="K5" s="270"/>
      <c r="L5" s="270"/>
      <c r="M5" s="270"/>
      <c r="N5" s="270"/>
      <c r="O5" s="270"/>
      <c r="P5" s="70" t="s">
        <v>753</v>
      </c>
      <c r="V5" t="str">
        <f aca="true" t="shared" si="0" ref="V5:V16">IF(F5="","",IF(F5=E5,"",CONCATENATE(B5,": ",F5)))</f>
        <v>Power Down Graphic: Movistar GSM Shutdown.gif</v>
      </c>
    </row>
    <row r="6" spans="1:22" ht="50.25" customHeight="1">
      <c r="A6" s="1">
        <f>A5+0.01</f>
        <v>2.0199999999999996</v>
      </c>
      <c r="B6" s="307" t="s">
        <v>924</v>
      </c>
      <c r="C6" s="307"/>
      <c r="D6" s="307"/>
      <c r="E6" s="67" t="s">
        <v>945</v>
      </c>
      <c r="F6" s="308" t="s">
        <v>1456</v>
      </c>
      <c r="G6" s="308"/>
      <c r="H6" s="308"/>
      <c r="I6" s="308"/>
      <c r="J6" s="270" t="s">
        <v>471</v>
      </c>
      <c r="K6" s="270"/>
      <c r="L6" s="270"/>
      <c r="M6" s="270"/>
      <c r="N6" s="270"/>
      <c r="O6" s="270"/>
      <c r="P6" s="85" t="s">
        <v>495</v>
      </c>
      <c r="V6" t="str">
        <f t="shared" si="0"/>
        <v>Default Wallpaper: Movistar GSM WP.gif</v>
      </c>
    </row>
    <row r="7" spans="1:22" ht="50.25" customHeight="1">
      <c r="A7" s="1">
        <f>A6+0.01</f>
        <v>2.0299999999999994</v>
      </c>
      <c r="B7" s="306" t="s">
        <v>925</v>
      </c>
      <c r="C7" s="307"/>
      <c r="D7" s="307"/>
      <c r="E7" s="67" t="s">
        <v>945</v>
      </c>
      <c r="F7" s="308" t="s">
        <v>427</v>
      </c>
      <c r="G7" s="308"/>
      <c r="H7" s="308"/>
      <c r="I7" s="308"/>
      <c r="J7" s="270" t="s">
        <v>470</v>
      </c>
      <c r="K7" s="270"/>
      <c r="L7" s="270"/>
      <c r="M7" s="270"/>
      <c r="N7" s="270"/>
      <c r="O7" s="270"/>
      <c r="P7" s="85" t="s">
        <v>496</v>
      </c>
      <c r="V7" t="str">
        <f t="shared" si="0"/>
        <v>Default Screen Saver: Movistar GSM SS.gif</v>
      </c>
    </row>
    <row r="8" spans="1:22" ht="50.25" customHeight="1">
      <c r="A8" s="1">
        <f>A7+0.01</f>
        <v>2.039999999999999</v>
      </c>
      <c r="B8" s="306" t="s">
        <v>1484</v>
      </c>
      <c r="C8" s="307"/>
      <c r="D8" s="307"/>
      <c r="E8" s="67" t="s">
        <v>475</v>
      </c>
      <c r="F8" s="281" t="s">
        <v>475</v>
      </c>
      <c r="G8" s="311"/>
      <c r="H8" s="308"/>
      <c r="I8" s="308"/>
      <c r="J8" s="270" t="s">
        <v>474</v>
      </c>
      <c r="K8" s="270"/>
      <c r="L8" s="270"/>
      <c r="M8" s="270"/>
      <c r="N8" s="270"/>
      <c r="O8" s="270"/>
      <c r="P8" s="70"/>
      <c r="V8">
        <f>IF(F8="","",IF(F8=E8,"",CONCATENATE(B8," to include under picture menu: ",F8)))</f>
      </c>
    </row>
    <row r="9" spans="1:16" ht="18">
      <c r="A9" s="291"/>
      <c r="B9" s="236" t="s">
        <v>1485</v>
      </c>
      <c r="C9" s="236"/>
      <c r="D9" s="236"/>
      <c r="E9" s="236"/>
      <c r="F9" s="236"/>
      <c r="G9" s="236"/>
      <c r="H9" s="236"/>
      <c r="I9" s="236"/>
      <c r="J9" s="236"/>
      <c r="K9" s="236"/>
      <c r="L9" s="236"/>
      <c r="M9" s="236"/>
      <c r="N9" s="236"/>
      <c r="O9" s="236"/>
      <c r="P9" s="69"/>
    </row>
    <row r="10" spans="1:16" ht="12.75">
      <c r="A10" s="291"/>
      <c r="B10" s="237" t="s">
        <v>314</v>
      </c>
      <c r="C10" s="237"/>
      <c r="D10" s="237"/>
      <c r="E10" s="63" t="s">
        <v>315</v>
      </c>
      <c r="F10" s="237" t="s">
        <v>316</v>
      </c>
      <c r="G10" s="237"/>
      <c r="H10" s="292" t="s">
        <v>317</v>
      </c>
      <c r="I10" s="293"/>
      <c r="J10" s="293"/>
      <c r="K10" s="293"/>
      <c r="L10" s="293"/>
      <c r="M10" s="293"/>
      <c r="N10" s="293"/>
      <c r="O10" s="294"/>
      <c r="P10" s="63" t="s">
        <v>1333</v>
      </c>
    </row>
    <row r="11" spans="1:22" ht="50.25" customHeight="1">
      <c r="A11" s="1">
        <f>A8+0.01</f>
        <v>2.049999999999999</v>
      </c>
      <c r="B11" s="295" t="s">
        <v>327</v>
      </c>
      <c r="C11" s="296"/>
      <c r="D11" s="296"/>
      <c r="E11" s="66" t="s">
        <v>939</v>
      </c>
      <c r="F11" s="281" t="s">
        <v>1536</v>
      </c>
      <c r="G11" s="242"/>
      <c r="H11" s="297" t="s">
        <v>265</v>
      </c>
      <c r="I11" s="298"/>
      <c r="J11" s="298"/>
      <c r="K11" s="298"/>
      <c r="L11" s="298"/>
      <c r="M11" s="298"/>
      <c r="N11" s="298"/>
      <c r="O11" s="299"/>
      <c r="P11" s="70" t="s">
        <v>854</v>
      </c>
      <c r="V11" t="str">
        <f t="shared" si="0"/>
        <v>Left Soft Key: Message</v>
      </c>
    </row>
    <row r="12" spans="1:22" ht="50.25" customHeight="1">
      <c r="A12" s="1">
        <f>A11+0.01</f>
        <v>2.0599999999999987</v>
      </c>
      <c r="B12" s="295" t="s">
        <v>328</v>
      </c>
      <c r="C12" s="296"/>
      <c r="D12" s="296"/>
      <c r="E12" s="66" t="s">
        <v>1543</v>
      </c>
      <c r="F12" s="281" t="s">
        <v>1538</v>
      </c>
      <c r="G12" s="242"/>
      <c r="H12" s="300"/>
      <c r="I12" s="301"/>
      <c r="J12" s="301"/>
      <c r="K12" s="301"/>
      <c r="L12" s="301"/>
      <c r="M12" s="301"/>
      <c r="N12" s="301"/>
      <c r="O12" s="302"/>
      <c r="P12" s="70" t="s">
        <v>855</v>
      </c>
      <c r="V12" t="str">
        <f t="shared" si="0"/>
        <v>Right Soft Key: Browser</v>
      </c>
    </row>
    <row r="13" spans="1:56" ht="50.25" customHeight="1">
      <c r="A13" s="1">
        <f>A12+0.01</f>
        <v>2.0699999999999985</v>
      </c>
      <c r="B13" s="295" t="s">
        <v>329</v>
      </c>
      <c r="C13" s="296"/>
      <c r="D13" s="296"/>
      <c r="E13" s="66" t="s">
        <v>1547</v>
      </c>
      <c r="F13" s="281" t="s">
        <v>693</v>
      </c>
      <c r="G13" s="242"/>
      <c r="H13" s="303"/>
      <c r="I13" s="304"/>
      <c r="J13" s="304"/>
      <c r="K13" s="304"/>
      <c r="L13" s="304"/>
      <c r="M13" s="304"/>
      <c r="N13" s="304"/>
      <c r="O13" s="305"/>
      <c r="P13" s="70" t="s">
        <v>856</v>
      </c>
      <c r="Q13" t="s">
        <v>1548</v>
      </c>
      <c r="R13" t="s">
        <v>1532</v>
      </c>
      <c r="S13" t="s">
        <v>1538</v>
      </c>
      <c r="T13" t="s">
        <v>1545</v>
      </c>
      <c r="U13" t="s">
        <v>1553</v>
      </c>
      <c r="V13" t="s">
        <v>939</v>
      </c>
      <c r="W13" t="s">
        <v>1557</v>
      </c>
      <c r="X13" t="s">
        <v>1549</v>
      </c>
      <c r="Y13" t="s">
        <v>1535</v>
      </c>
      <c r="Z13" t="s">
        <v>1556</v>
      </c>
      <c r="AA13" t="s">
        <v>1554</v>
      </c>
      <c r="AB13" t="s">
        <v>1561</v>
      </c>
      <c r="AC13" t="s">
        <v>1562</v>
      </c>
      <c r="AD13" t="s">
        <v>1560</v>
      </c>
      <c r="AE13" t="s">
        <v>1536</v>
      </c>
      <c r="AF13" t="s">
        <v>415</v>
      </c>
      <c r="AG13" t="s">
        <v>1558</v>
      </c>
      <c r="AH13" t="s">
        <v>1551</v>
      </c>
      <c r="AI13" t="s">
        <v>1531</v>
      </c>
      <c r="AJ13" t="s">
        <v>1555</v>
      </c>
      <c r="AK13" t="s">
        <v>1541</v>
      </c>
      <c r="AL13" t="s">
        <v>839</v>
      </c>
      <c r="AM13" t="s">
        <v>497</v>
      </c>
      <c r="AN13" t="s">
        <v>1530</v>
      </c>
      <c r="AO13" t="s">
        <v>669</v>
      </c>
      <c r="AP13" t="s">
        <v>1559</v>
      </c>
      <c r="AQ13" t="s">
        <v>1550</v>
      </c>
      <c r="AR13" t="s">
        <v>1546</v>
      </c>
      <c r="AS13" t="s">
        <v>1533</v>
      </c>
      <c r="AT13" t="s">
        <v>1534</v>
      </c>
      <c r="AU13" t="s">
        <v>1534</v>
      </c>
      <c r="AV13" t="s">
        <v>1552</v>
      </c>
      <c r="AW13" t="s">
        <v>1540</v>
      </c>
      <c r="AX13" t="s">
        <v>1544</v>
      </c>
      <c r="AY13" t="s">
        <v>1542</v>
      </c>
      <c r="AZ13" t="s">
        <v>1543</v>
      </c>
      <c r="BA13" t="s">
        <v>693</v>
      </c>
      <c r="BB13" t="s">
        <v>1547</v>
      </c>
      <c r="BC13" t="s">
        <v>1537</v>
      </c>
      <c r="BD13" t="s">
        <v>1539</v>
      </c>
    </row>
    <row r="14" spans="1:22" ht="50.25" customHeight="1">
      <c r="A14" s="1">
        <f>A13+0.01</f>
        <v>2.0799999999999983</v>
      </c>
      <c r="B14" s="295" t="s">
        <v>1491</v>
      </c>
      <c r="C14" s="296"/>
      <c r="D14" s="296"/>
      <c r="E14" s="64" t="s">
        <v>704</v>
      </c>
      <c r="F14" s="281" t="s">
        <v>704</v>
      </c>
      <c r="G14" s="242"/>
      <c r="H14" s="282" t="s">
        <v>952</v>
      </c>
      <c r="I14" s="283"/>
      <c r="J14" s="283"/>
      <c r="K14" s="283"/>
      <c r="L14" s="283"/>
      <c r="M14" s="283"/>
      <c r="N14" s="283"/>
      <c r="O14" s="284"/>
      <c r="P14" s="70" t="s">
        <v>956</v>
      </c>
      <c r="Q14" t="s">
        <v>564</v>
      </c>
      <c r="R14" t="s">
        <v>838</v>
      </c>
      <c r="S14" t="s">
        <v>704</v>
      </c>
      <c r="V14">
        <f>IF(F14="","",IF(F14=E14,"",CONCATENATE(Q14," - ",F14)))</f>
      </c>
    </row>
    <row r="15" spans="1:22" ht="50.25" customHeight="1">
      <c r="A15" s="1">
        <f>A14+0.01</f>
        <v>2.089999999999998</v>
      </c>
      <c r="B15" s="278" t="s">
        <v>946</v>
      </c>
      <c r="C15" s="279"/>
      <c r="D15" s="280"/>
      <c r="E15" s="68" t="s">
        <v>947</v>
      </c>
      <c r="F15" s="281" t="s">
        <v>947</v>
      </c>
      <c r="G15" s="242"/>
      <c r="H15" s="282" t="s">
        <v>951</v>
      </c>
      <c r="I15" s="283"/>
      <c r="J15" s="283"/>
      <c r="K15" s="283"/>
      <c r="L15" s="283"/>
      <c r="M15" s="283"/>
      <c r="N15" s="283"/>
      <c r="O15" s="284"/>
      <c r="P15" s="70" t="s">
        <v>750</v>
      </c>
      <c r="Q15" t="s">
        <v>947</v>
      </c>
      <c r="R15" t="s">
        <v>38</v>
      </c>
      <c r="S15" t="s">
        <v>39</v>
      </c>
      <c r="T15" s="130" t="s">
        <v>40</v>
      </c>
      <c r="U15" t="s">
        <v>41</v>
      </c>
      <c r="V15" t="s">
        <v>42</v>
      </c>
    </row>
    <row r="16" spans="1:22" ht="51.75" customHeight="1">
      <c r="A16" s="1">
        <f>A15+0.01</f>
        <v>2.099999999999998</v>
      </c>
      <c r="B16" s="288" t="s">
        <v>923</v>
      </c>
      <c r="C16" s="289"/>
      <c r="D16" s="290"/>
      <c r="E16" s="65" t="s">
        <v>945</v>
      </c>
      <c r="F16" s="281" t="s">
        <v>624</v>
      </c>
      <c r="G16" s="242"/>
      <c r="H16" s="285" t="s">
        <v>266</v>
      </c>
      <c r="I16" s="286"/>
      <c r="J16" s="286"/>
      <c r="K16" s="286"/>
      <c r="L16" s="286"/>
      <c r="M16" s="286"/>
      <c r="N16" s="286"/>
      <c r="O16" s="287"/>
      <c r="P16" s="70" t="s">
        <v>642</v>
      </c>
      <c r="V16" t="str">
        <f t="shared" si="0"/>
        <v>Default Ringtone: Hyperactive</v>
      </c>
    </row>
    <row r="17" spans="1:16" ht="18">
      <c r="A17" s="309"/>
      <c r="B17" s="236" t="s">
        <v>1360</v>
      </c>
      <c r="C17" s="236"/>
      <c r="D17" s="236"/>
      <c r="E17" s="236"/>
      <c r="F17" s="236"/>
      <c r="G17" s="236"/>
      <c r="H17" s="236"/>
      <c r="I17" s="236"/>
      <c r="J17" s="236"/>
      <c r="K17" s="236"/>
      <c r="L17" s="236"/>
      <c r="M17" s="236"/>
      <c r="N17" s="236"/>
      <c r="O17" s="236"/>
      <c r="P17" s="69"/>
    </row>
    <row r="18" spans="1:17" ht="13.5">
      <c r="A18" s="310"/>
      <c r="B18" s="237" t="s">
        <v>314</v>
      </c>
      <c r="C18" s="237"/>
      <c r="D18" s="237"/>
      <c r="E18" s="63" t="s">
        <v>314</v>
      </c>
      <c r="F18" s="237" t="s">
        <v>1369</v>
      </c>
      <c r="G18" s="237"/>
      <c r="H18" s="237" t="s">
        <v>1370</v>
      </c>
      <c r="I18" s="237"/>
      <c r="J18" s="237" t="s">
        <v>1371</v>
      </c>
      <c r="K18" s="237"/>
      <c r="L18" s="237"/>
      <c r="M18" s="237"/>
      <c r="N18" s="237"/>
      <c r="O18" s="237"/>
      <c r="P18" s="63" t="s">
        <v>1333</v>
      </c>
      <c r="Q18" s="130"/>
    </row>
    <row r="19" spans="1:22" ht="41.25" customHeight="1">
      <c r="A19" s="1">
        <f>A16+0.01</f>
        <v>2.1099999999999977</v>
      </c>
      <c r="B19" s="306" t="s">
        <v>1365</v>
      </c>
      <c r="C19" s="307"/>
      <c r="D19" s="307"/>
      <c r="E19" s="64"/>
      <c r="F19" s="308"/>
      <c r="G19" s="308"/>
      <c r="H19" s="308"/>
      <c r="I19" s="308"/>
      <c r="J19" s="270"/>
      <c r="K19" s="270"/>
      <c r="L19" s="270"/>
      <c r="M19" s="270"/>
      <c r="N19" s="270"/>
      <c r="O19" s="270"/>
      <c r="P19" s="70" t="s">
        <v>1378</v>
      </c>
      <c r="Q19" t="s">
        <v>1410</v>
      </c>
      <c r="R19" t="s">
        <v>1372</v>
      </c>
      <c r="S19" t="s">
        <v>1541</v>
      </c>
      <c r="T19" t="s">
        <v>1373</v>
      </c>
      <c r="U19" t="s">
        <v>1374</v>
      </c>
      <c r="V19" t="s">
        <v>1540</v>
      </c>
    </row>
    <row r="20" spans="1:22" ht="41.25" customHeight="1">
      <c r="A20" s="1">
        <f aca="true" t="shared" si="1" ref="A20:A28">A19+0.01</f>
        <v>2.1199999999999974</v>
      </c>
      <c r="B20" s="306" t="s">
        <v>1366</v>
      </c>
      <c r="C20" s="307"/>
      <c r="D20" s="307"/>
      <c r="E20" s="64"/>
      <c r="F20" s="308"/>
      <c r="G20" s="308"/>
      <c r="H20" s="308"/>
      <c r="I20" s="308"/>
      <c r="J20" s="270"/>
      <c r="K20" s="270"/>
      <c r="L20" s="270"/>
      <c r="M20" s="270"/>
      <c r="N20" s="270"/>
      <c r="O20" s="270"/>
      <c r="P20" s="70" t="s">
        <v>1378</v>
      </c>
      <c r="Q20" s="31" t="s">
        <v>1411</v>
      </c>
      <c r="R20" s="31" t="s">
        <v>1412</v>
      </c>
      <c r="S20" s="31" t="s">
        <v>1413</v>
      </c>
      <c r="T20" s="31" t="s">
        <v>1414</v>
      </c>
      <c r="U20" s="31" t="s">
        <v>1415</v>
      </c>
      <c r="V20" s="31" t="s">
        <v>1416</v>
      </c>
    </row>
    <row r="21" spans="1:16" ht="41.25" customHeight="1">
      <c r="A21" s="1">
        <f t="shared" si="1"/>
        <v>2.1299999999999972</v>
      </c>
      <c r="B21" s="306" t="s">
        <v>1367</v>
      </c>
      <c r="C21" s="307"/>
      <c r="D21" s="307"/>
      <c r="E21" s="67"/>
      <c r="F21" s="308"/>
      <c r="G21" s="308"/>
      <c r="H21" s="308"/>
      <c r="I21" s="308"/>
      <c r="J21" s="270"/>
      <c r="K21" s="270"/>
      <c r="L21" s="270"/>
      <c r="M21" s="270"/>
      <c r="N21" s="270"/>
      <c r="O21" s="270"/>
      <c r="P21" s="85" t="s">
        <v>1378</v>
      </c>
    </row>
    <row r="22" spans="1:16" ht="41.25" customHeight="1">
      <c r="A22" s="1">
        <f t="shared" si="1"/>
        <v>2.139999999999997</v>
      </c>
      <c r="B22" s="306" t="s">
        <v>1368</v>
      </c>
      <c r="C22" s="307"/>
      <c r="D22" s="307"/>
      <c r="E22" s="67"/>
      <c r="F22" s="308"/>
      <c r="G22" s="308"/>
      <c r="H22" s="308"/>
      <c r="I22" s="308"/>
      <c r="J22" s="270"/>
      <c r="K22" s="270"/>
      <c r="L22" s="270"/>
      <c r="M22" s="270"/>
      <c r="N22" s="270"/>
      <c r="O22" s="270"/>
      <c r="P22" s="85" t="s">
        <v>1378</v>
      </c>
    </row>
    <row r="23" spans="1:16" ht="41.25" customHeight="1">
      <c r="A23" s="1">
        <f t="shared" si="1"/>
        <v>2.149999999999997</v>
      </c>
      <c r="B23" s="306" t="s">
        <v>1376</v>
      </c>
      <c r="C23" s="307"/>
      <c r="D23" s="307"/>
      <c r="E23" s="67"/>
      <c r="F23" s="308"/>
      <c r="G23" s="308"/>
      <c r="H23" s="308"/>
      <c r="I23" s="308"/>
      <c r="J23" s="270"/>
      <c r="K23" s="270"/>
      <c r="L23" s="270"/>
      <c r="M23" s="270"/>
      <c r="N23" s="270"/>
      <c r="O23" s="270"/>
      <c r="P23" s="85" t="s">
        <v>1378</v>
      </c>
    </row>
    <row r="24" spans="1:16" ht="41.25" customHeight="1">
      <c r="A24" s="1">
        <f t="shared" si="1"/>
        <v>2.1599999999999966</v>
      </c>
      <c r="B24" s="306" t="s">
        <v>1377</v>
      </c>
      <c r="C24" s="307"/>
      <c r="D24" s="307"/>
      <c r="E24" s="67"/>
      <c r="F24" s="308"/>
      <c r="G24" s="308"/>
      <c r="H24" s="308"/>
      <c r="I24" s="308"/>
      <c r="J24" s="270"/>
      <c r="K24" s="270"/>
      <c r="L24" s="270"/>
      <c r="M24" s="270"/>
      <c r="N24" s="270"/>
      <c r="O24" s="270"/>
      <c r="P24" s="85" t="s">
        <v>1378</v>
      </c>
    </row>
    <row r="25" spans="1:16" ht="40.5" customHeight="1">
      <c r="A25" s="1">
        <f t="shared" si="1"/>
        <v>2.1699999999999964</v>
      </c>
      <c r="B25" s="306" t="s">
        <v>1417</v>
      </c>
      <c r="C25" s="307"/>
      <c r="D25" s="307"/>
      <c r="E25" s="67"/>
      <c r="F25" s="308"/>
      <c r="G25" s="308"/>
      <c r="H25" s="308"/>
      <c r="I25" s="308"/>
      <c r="J25" s="270"/>
      <c r="K25" s="270"/>
      <c r="L25" s="270"/>
      <c r="M25" s="270"/>
      <c r="N25" s="270"/>
      <c r="O25" s="270"/>
      <c r="P25" s="85" t="s">
        <v>1378</v>
      </c>
    </row>
    <row r="26" spans="1:16" ht="40.5" customHeight="1">
      <c r="A26" s="1">
        <f t="shared" si="1"/>
        <v>2.179999999999996</v>
      </c>
      <c r="B26" s="306" t="s">
        <v>1418</v>
      </c>
      <c r="C26" s="307"/>
      <c r="D26" s="307"/>
      <c r="E26" s="67"/>
      <c r="F26" s="308"/>
      <c r="G26" s="308"/>
      <c r="H26" s="308"/>
      <c r="I26" s="308"/>
      <c r="J26" s="270"/>
      <c r="K26" s="270"/>
      <c r="L26" s="270"/>
      <c r="M26" s="270"/>
      <c r="N26" s="270"/>
      <c r="O26" s="270"/>
      <c r="P26" s="85" t="s">
        <v>1378</v>
      </c>
    </row>
    <row r="27" spans="1:16" ht="40.5" customHeight="1">
      <c r="A27" s="1">
        <f t="shared" si="1"/>
        <v>2.189999999999996</v>
      </c>
      <c r="B27" s="306" t="s">
        <v>1419</v>
      </c>
      <c r="C27" s="307"/>
      <c r="D27" s="307"/>
      <c r="E27" s="67"/>
      <c r="F27" s="308"/>
      <c r="G27" s="308"/>
      <c r="H27" s="308"/>
      <c r="I27" s="308"/>
      <c r="J27" s="270"/>
      <c r="K27" s="270"/>
      <c r="L27" s="270"/>
      <c r="M27" s="270"/>
      <c r="N27" s="270"/>
      <c r="O27" s="270"/>
      <c r="P27" s="85" t="s">
        <v>1378</v>
      </c>
    </row>
    <row r="28" spans="1:16" ht="40.5" customHeight="1">
      <c r="A28" s="1">
        <f t="shared" si="1"/>
        <v>2.1999999999999957</v>
      </c>
      <c r="B28" s="306" t="s">
        <v>1420</v>
      </c>
      <c r="C28" s="307"/>
      <c r="D28" s="307"/>
      <c r="E28" s="67"/>
      <c r="F28" s="308"/>
      <c r="G28" s="308"/>
      <c r="H28" s="308"/>
      <c r="I28" s="308"/>
      <c r="J28" s="270"/>
      <c r="K28" s="270"/>
      <c r="L28" s="270"/>
      <c r="M28" s="270"/>
      <c r="N28" s="270"/>
      <c r="O28" s="270"/>
      <c r="P28" s="85" t="s">
        <v>1378</v>
      </c>
    </row>
    <row r="29" ht="12.75">
      <c r="A29" s="31"/>
    </row>
    <row r="30" ht="12.75">
      <c r="A30" s="31"/>
    </row>
    <row r="31" ht="12.75">
      <c r="A31" s="31"/>
    </row>
    <row r="32" ht="12.75">
      <c r="A32" s="31"/>
    </row>
    <row r="33" ht="12.75">
      <c r="A33" s="31"/>
    </row>
    <row r="34" ht="12.75">
      <c r="A34" s="31"/>
    </row>
    <row r="35" ht="12.75">
      <c r="A35" s="31"/>
    </row>
    <row r="36" ht="12.75">
      <c r="A36" s="31"/>
    </row>
    <row r="37" ht="12.75">
      <c r="A37" s="31"/>
    </row>
    <row r="38" ht="12.75">
      <c r="A38" s="31"/>
    </row>
    <row r="39" ht="12.75">
      <c r="A39" s="31"/>
    </row>
    <row r="40" ht="12.75">
      <c r="A40" s="31"/>
    </row>
    <row r="41" ht="12.75">
      <c r="A41" s="31"/>
    </row>
    <row r="42" ht="12.75">
      <c r="A42" s="31"/>
    </row>
    <row r="43" ht="12.75">
      <c r="A43" s="31"/>
    </row>
    <row r="44" ht="12.75">
      <c r="A44" s="31"/>
    </row>
    <row r="45" ht="12.75">
      <c r="A45" s="31"/>
    </row>
    <row r="46" ht="12.75">
      <c r="A46" s="31"/>
    </row>
    <row r="47" ht="12.75">
      <c r="A47" s="31"/>
    </row>
    <row r="48" ht="12.75">
      <c r="A48" s="31"/>
    </row>
    <row r="49" ht="12.75">
      <c r="A49" s="31"/>
    </row>
    <row r="50" ht="12.75">
      <c r="A50" s="31"/>
    </row>
    <row r="51" ht="12.75">
      <c r="A51" s="31"/>
    </row>
    <row r="52" ht="12.75">
      <c r="A52" s="31"/>
    </row>
    <row r="53" ht="12.75">
      <c r="A53" s="31"/>
    </row>
    <row r="54" ht="12.75">
      <c r="A54" s="31"/>
    </row>
    <row r="55" ht="12.75">
      <c r="A55" s="31"/>
    </row>
    <row r="56" ht="12.75">
      <c r="A56" s="31"/>
    </row>
  </sheetData>
  <mergeCells count="93">
    <mergeCell ref="B28:D28"/>
    <mergeCell ref="F28:G28"/>
    <mergeCell ref="H28:I28"/>
    <mergeCell ref="J28:O28"/>
    <mergeCell ref="B27:D27"/>
    <mergeCell ref="F27:G27"/>
    <mergeCell ref="H27:I27"/>
    <mergeCell ref="J27:O27"/>
    <mergeCell ref="B26:D26"/>
    <mergeCell ref="F26:G26"/>
    <mergeCell ref="H26:I26"/>
    <mergeCell ref="J26:O26"/>
    <mergeCell ref="B25:D25"/>
    <mergeCell ref="F25:G25"/>
    <mergeCell ref="H25:I25"/>
    <mergeCell ref="J25:O25"/>
    <mergeCell ref="B23:D23"/>
    <mergeCell ref="F23:G23"/>
    <mergeCell ref="H23:I23"/>
    <mergeCell ref="J23:O23"/>
    <mergeCell ref="B24:D24"/>
    <mergeCell ref="F24:G24"/>
    <mergeCell ref="H24:I24"/>
    <mergeCell ref="J24:O24"/>
    <mergeCell ref="B22:D22"/>
    <mergeCell ref="F22:G22"/>
    <mergeCell ref="H22:I22"/>
    <mergeCell ref="J22:O22"/>
    <mergeCell ref="B21:D21"/>
    <mergeCell ref="F21:G21"/>
    <mergeCell ref="H21:I21"/>
    <mergeCell ref="J21:O21"/>
    <mergeCell ref="B20:D20"/>
    <mergeCell ref="F20:G20"/>
    <mergeCell ref="H20:I20"/>
    <mergeCell ref="J20:O20"/>
    <mergeCell ref="B19:D19"/>
    <mergeCell ref="F19:G19"/>
    <mergeCell ref="H19:I19"/>
    <mergeCell ref="J19:O19"/>
    <mergeCell ref="A17:A18"/>
    <mergeCell ref="B17:O17"/>
    <mergeCell ref="B18:D18"/>
    <mergeCell ref="F18:G18"/>
    <mergeCell ref="H18:I18"/>
    <mergeCell ref="J18:O18"/>
    <mergeCell ref="B8:D8"/>
    <mergeCell ref="F8:G8"/>
    <mergeCell ref="H8:I8"/>
    <mergeCell ref="J8:O8"/>
    <mergeCell ref="B4:D4"/>
    <mergeCell ref="F4:G4"/>
    <mergeCell ref="H4:I4"/>
    <mergeCell ref="J4:O4"/>
    <mergeCell ref="A2:A3"/>
    <mergeCell ref="B2:O2"/>
    <mergeCell ref="B3:D3"/>
    <mergeCell ref="F3:G3"/>
    <mergeCell ref="H3:I3"/>
    <mergeCell ref="J3:O3"/>
    <mergeCell ref="B5:D5"/>
    <mergeCell ref="F5:G5"/>
    <mergeCell ref="H5:I5"/>
    <mergeCell ref="J5:O5"/>
    <mergeCell ref="B6:D6"/>
    <mergeCell ref="F6:G6"/>
    <mergeCell ref="H6:I6"/>
    <mergeCell ref="J6:O6"/>
    <mergeCell ref="B7:D7"/>
    <mergeCell ref="F7:G7"/>
    <mergeCell ref="H7:I7"/>
    <mergeCell ref="J7:O7"/>
    <mergeCell ref="F11:G11"/>
    <mergeCell ref="B14:D14"/>
    <mergeCell ref="F14:G14"/>
    <mergeCell ref="H14:O14"/>
    <mergeCell ref="B12:D12"/>
    <mergeCell ref="H11:O13"/>
    <mergeCell ref="F12:G12"/>
    <mergeCell ref="B13:D13"/>
    <mergeCell ref="F13:G13"/>
    <mergeCell ref="B11:D11"/>
    <mergeCell ref="A9:A10"/>
    <mergeCell ref="B9:O9"/>
    <mergeCell ref="B10:D10"/>
    <mergeCell ref="F10:G10"/>
    <mergeCell ref="H10:O10"/>
    <mergeCell ref="B15:D15"/>
    <mergeCell ref="F15:G15"/>
    <mergeCell ref="H15:O15"/>
    <mergeCell ref="H16:O16"/>
    <mergeCell ref="B16:D16"/>
    <mergeCell ref="F16:G16"/>
  </mergeCells>
  <conditionalFormatting sqref="F11:G16">
    <cfRule type="cellIs" priority="1" dxfId="0" operator="equal" stopIfTrue="1">
      <formula>""</formula>
    </cfRule>
  </conditionalFormatting>
  <dataValidations count="5">
    <dataValidation type="list" allowBlank="1" showInputMessage="1" showErrorMessage="1" sqref="F19:G28">
      <formula1>$Q$19:$W$19</formula1>
    </dataValidation>
    <dataValidation type="list" allowBlank="1" showInputMessage="1" showErrorMessage="1" sqref="F12:G12">
      <formula1>$T$22:$T$59</formula1>
    </dataValidation>
    <dataValidation type="list" allowBlank="1" showInputMessage="1" showErrorMessage="1" sqref="F15:G15">
      <formula1>$Q$21:$Q$26</formula1>
    </dataValidation>
    <dataValidation type="list" allowBlank="1" showInputMessage="1" showErrorMessage="1" sqref="F14:G14">
      <formula1>$R$20:$S$20</formula1>
    </dataValidation>
    <dataValidation type="list" allowBlank="1" showInputMessage="1" showErrorMessage="1" sqref="F13:G13 F11:G11">
      <formula1>$Q$13:$BD$13</formula1>
    </dataValidation>
  </dataValidations>
  <printOptions/>
  <pageMargins left="0.75" right="0.75" top="1" bottom="1" header="0.5" footer="0.5"/>
  <pageSetup fitToHeight="23" fitToWidth="1" horizontalDpi="600" verticalDpi="600" orientation="portrait" scale="70"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Y52"/>
  <sheetViews>
    <sheetView showGridLines="0" zoomScale="75" zoomScaleNormal="75" zoomScaleSheetLayoutView="100" workbookViewId="0" topLeftCell="A1">
      <pane ySplit="2" topLeftCell="BM3" activePane="bottomLeft" state="frozen"/>
      <selection pane="topLeft" activeCell="A1" sqref="A1"/>
      <selection pane="bottomLeft" activeCell="G12" sqref="G12:H12"/>
    </sheetView>
  </sheetViews>
  <sheetFormatPr defaultColWidth="9.140625" defaultRowHeight="12.75"/>
  <cols>
    <col min="4" max="4" width="9.57421875" style="0" customWidth="1"/>
    <col min="8" max="8" width="11.421875" style="0" customWidth="1"/>
    <col min="15" max="15" width="66.57421875" style="0" customWidth="1"/>
    <col min="16" max="16" width="57.7109375" style="0" hidden="1" customWidth="1"/>
    <col min="17" max="17" width="6.421875" style="0" hidden="1" customWidth="1"/>
    <col min="18" max="18" width="5.28125" style="0" hidden="1" customWidth="1"/>
    <col min="19" max="19" width="5.7109375" style="0" hidden="1" customWidth="1"/>
    <col min="20" max="20" width="8.00390625" style="0" hidden="1" customWidth="1"/>
    <col min="21" max="21" width="9.140625" style="0" hidden="1" customWidth="1"/>
    <col min="22" max="22" width="71.7109375" style="0" hidden="1" customWidth="1"/>
  </cols>
  <sheetData>
    <row r="1" spans="1:16" ht="18.75" thickTop="1">
      <c r="A1" s="291" t="s">
        <v>321</v>
      </c>
      <c r="B1" s="316" t="s">
        <v>706</v>
      </c>
      <c r="C1" s="317"/>
      <c r="D1" s="317"/>
      <c r="E1" s="317"/>
      <c r="F1" s="317"/>
      <c r="G1" s="317"/>
      <c r="H1" s="317"/>
      <c r="I1" s="317"/>
      <c r="J1" s="317"/>
      <c r="K1" s="317"/>
      <c r="L1" s="317"/>
      <c r="M1" s="317"/>
      <c r="N1" s="317"/>
      <c r="O1" s="318"/>
      <c r="P1" s="319"/>
    </row>
    <row r="2" spans="1:16" ht="12.75">
      <c r="A2" s="291"/>
      <c r="B2" s="237" t="s">
        <v>314</v>
      </c>
      <c r="C2" s="237"/>
      <c r="D2" s="237"/>
      <c r="E2" s="237" t="s">
        <v>315</v>
      </c>
      <c r="F2" s="237"/>
      <c r="G2" s="237" t="s">
        <v>316</v>
      </c>
      <c r="H2" s="237"/>
      <c r="I2" s="237" t="s">
        <v>317</v>
      </c>
      <c r="J2" s="237"/>
      <c r="K2" s="237"/>
      <c r="L2" s="237"/>
      <c r="M2" s="237"/>
      <c r="N2" s="237"/>
      <c r="O2" s="63" t="s">
        <v>1333</v>
      </c>
      <c r="P2" s="63" t="s">
        <v>673</v>
      </c>
    </row>
    <row r="3" spans="1:22" s="3" customFormat="1" ht="74.25" customHeight="1">
      <c r="A3" s="2">
        <v>3</v>
      </c>
      <c r="B3" s="278" t="s">
        <v>1174</v>
      </c>
      <c r="C3" s="279"/>
      <c r="D3" s="280"/>
      <c r="E3" s="281" t="s">
        <v>322</v>
      </c>
      <c r="F3" s="311"/>
      <c r="G3" s="281" t="s">
        <v>322</v>
      </c>
      <c r="H3" s="311"/>
      <c r="I3" s="313" t="s">
        <v>1228</v>
      </c>
      <c r="J3" s="314"/>
      <c r="K3" s="314"/>
      <c r="L3" s="314"/>
      <c r="M3" s="314"/>
      <c r="N3" s="315"/>
      <c r="O3" s="70" t="s">
        <v>264</v>
      </c>
      <c r="P3" s="90" t="s">
        <v>198</v>
      </c>
      <c r="Q3" s="3" t="s">
        <v>322</v>
      </c>
      <c r="R3" s="3" t="s">
        <v>689</v>
      </c>
      <c r="V3" s="3">
        <f aca="true" t="shared" si="0" ref="V3:V8">IF(G3="","",IF(ISERROR(SEARCH(E3,G3)),CONCATENATE(P3," - ",G3),""))</f>
      </c>
    </row>
    <row r="4" spans="1:25" ht="50.25" customHeight="1">
      <c r="A4" s="1">
        <f>A3+0.01</f>
        <v>3.01</v>
      </c>
      <c r="B4" s="295" t="s">
        <v>1175</v>
      </c>
      <c r="C4" s="296"/>
      <c r="D4" s="296"/>
      <c r="E4" s="308" t="s">
        <v>1176</v>
      </c>
      <c r="F4" s="308"/>
      <c r="G4" s="308" t="s">
        <v>1176</v>
      </c>
      <c r="H4" s="308"/>
      <c r="I4" s="312" t="s">
        <v>1074</v>
      </c>
      <c r="J4" s="312"/>
      <c r="K4" s="312"/>
      <c r="L4" s="312"/>
      <c r="M4" s="312"/>
      <c r="N4" s="312"/>
      <c r="O4" s="85" t="s">
        <v>643</v>
      </c>
      <c r="P4" s="90" t="s">
        <v>199</v>
      </c>
      <c r="Q4" t="s">
        <v>1176</v>
      </c>
      <c r="R4" t="s">
        <v>840</v>
      </c>
      <c r="V4" s="3">
        <f t="shared" si="0"/>
      </c>
      <c r="X4" s="80"/>
      <c r="Y4" s="80"/>
    </row>
    <row r="5" spans="1:25" ht="50.25" customHeight="1">
      <c r="A5" s="1">
        <f aca="true" t="shared" si="1" ref="A5:A11">A4+0.01</f>
        <v>3.0199999999999996</v>
      </c>
      <c r="B5" s="296" t="s">
        <v>1177</v>
      </c>
      <c r="C5" s="296"/>
      <c r="D5" s="296"/>
      <c r="E5" s="308" t="s">
        <v>1178</v>
      </c>
      <c r="F5" s="308"/>
      <c r="G5" s="320" t="s">
        <v>1178</v>
      </c>
      <c r="H5" s="320"/>
      <c r="I5" s="270" t="s">
        <v>1179</v>
      </c>
      <c r="J5" s="270"/>
      <c r="K5" s="270"/>
      <c r="L5" s="270"/>
      <c r="M5" s="270"/>
      <c r="N5" s="270"/>
      <c r="O5" s="85" t="s">
        <v>926</v>
      </c>
      <c r="P5" s="90" t="s">
        <v>200</v>
      </c>
      <c r="Q5" t="s">
        <v>1178</v>
      </c>
      <c r="R5" t="s">
        <v>841</v>
      </c>
      <c r="S5" t="s">
        <v>842</v>
      </c>
      <c r="T5" t="s">
        <v>1169</v>
      </c>
      <c r="V5" s="3">
        <f t="shared" si="0"/>
      </c>
      <c r="X5" s="80"/>
      <c r="Y5" s="80"/>
    </row>
    <row r="6" spans="1:25" ht="50.25" customHeight="1">
      <c r="A6" s="1">
        <f t="shared" si="1"/>
        <v>3.0299999999999994</v>
      </c>
      <c r="B6" s="295" t="s">
        <v>1180</v>
      </c>
      <c r="C6" s="296"/>
      <c r="D6" s="296"/>
      <c r="E6" s="281" t="s">
        <v>322</v>
      </c>
      <c r="F6" s="311"/>
      <c r="G6" s="308" t="s">
        <v>322</v>
      </c>
      <c r="H6" s="308"/>
      <c r="I6" s="270" t="s">
        <v>1181</v>
      </c>
      <c r="J6" s="270"/>
      <c r="K6" s="270"/>
      <c r="L6" s="270"/>
      <c r="M6" s="270"/>
      <c r="N6" s="270"/>
      <c r="O6" s="85" t="s">
        <v>88</v>
      </c>
      <c r="P6" s="90" t="s">
        <v>206</v>
      </c>
      <c r="Q6" t="s">
        <v>322</v>
      </c>
      <c r="R6" t="s">
        <v>689</v>
      </c>
      <c r="V6" s="3">
        <f t="shared" si="0"/>
      </c>
      <c r="X6" s="80"/>
      <c r="Y6" s="80"/>
    </row>
    <row r="7" spans="1:25" ht="50.25" customHeight="1">
      <c r="A7" s="1">
        <f t="shared" si="1"/>
        <v>3.039999999999999</v>
      </c>
      <c r="B7" s="295" t="s">
        <v>1182</v>
      </c>
      <c r="C7" s="296"/>
      <c r="D7" s="296"/>
      <c r="E7" s="281" t="s">
        <v>322</v>
      </c>
      <c r="F7" s="311"/>
      <c r="G7" s="308" t="s">
        <v>322</v>
      </c>
      <c r="H7" s="308"/>
      <c r="I7" s="270" t="s">
        <v>1183</v>
      </c>
      <c r="J7" s="270"/>
      <c r="K7" s="270"/>
      <c r="L7" s="270"/>
      <c r="M7" s="270"/>
      <c r="N7" s="270"/>
      <c r="O7" s="70" t="s">
        <v>810</v>
      </c>
      <c r="P7" s="90" t="s">
        <v>207</v>
      </c>
      <c r="Q7" t="s">
        <v>322</v>
      </c>
      <c r="R7" t="s">
        <v>689</v>
      </c>
      <c r="V7" s="3">
        <f t="shared" si="0"/>
      </c>
      <c r="X7" s="80"/>
      <c r="Y7" s="80"/>
    </row>
    <row r="8" spans="1:25" ht="67.5" customHeight="1">
      <c r="A8" s="1">
        <f t="shared" si="1"/>
        <v>3.049999999999999</v>
      </c>
      <c r="B8" s="295" t="s">
        <v>1184</v>
      </c>
      <c r="C8" s="296"/>
      <c r="D8" s="296"/>
      <c r="E8" s="281" t="s">
        <v>322</v>
      </c>
      <c r="F8" s="311"/>
      <c r="G8" s="308" t="s">
        <v>322</v>
      </c>
      <c r="H8" s="308"/>
      <c r="I8" s="270" t="s">
        <v>285</v>
      </c>
      <c r="J8" s="270"/>
      <c r="K8" s="270"/>
      <c r="L8" s="270"/>
      <c r="M8" s="270"/>
      <c r="N8" s="270"/>
      <c r="O8" s="70" t="s">
        <v>811</v>
      </c>
      <c r="P8" s="90" t="s">
        <v>1459</v>
      </c>
      <c r="Q8" t="s">
        <v>322</v>
      </c>
      <c r="R8" t="s">
        <v>689</v>
      </c>
      <c r="V8" s="3">
        <f t="shared" si="0"/>
      </c>
      <c r="X8" s="80"/>
      <c r="Y8" s="80"/>
    </row>
    <row r="9" spans="1:25" ht="50.25" customHeight="1">
      <c r="A9" s="1">
        <f t="shared" si="1"/>
        <v>3.0599999999999987</v>
      </c>
      <c r="B9" s="295" t="s">
        <v>1114</v>
      </c>
      <c r="C9" s="296"/>
      <c r="D9" s="296"/>
      <c r="E9" s="308" t="s">
        <v>1501</v>
      </c>
      <c r="F9" s="308"/>
      <c r="G9" s="208">
        <v>1</v>
      </c>
      <c r="H9" s="209" t="s">
        <v>1500</v>
      </c>
      <c r="I9" s="270" t="s">
        <v>1115</v>
      </c>
      <c r="J9" s="270"/>
      <c r="K9" s="270"/>
      <c r="L9" s="270"/>
      <c r="M9" s="270"/>
      <c r="N9" s="270"/>
      <c r="O9" s="85" t="s">
        <v>89</v>
      </c>
      <c r="P9" s="91" t="s">
        <v>948</v>
      </c>
      <c r="U9" t="s">
        <v>1500</v>
      </c>
      <c r="V9" s="3" t="str">
        <f>IF(G9=E9,"",IF(G9="","",CONCATENATE(P9," - ",T9)))</f>
        <v>DL_DB_FEATURE_ID_SIMTK_USER_RESPONSE_TIMEOUT - </v>
      </c>
      <c r="X9" s="80"/>
      <c r="Y9" s="80"/>
    </row>
    <row r="10" spans="1:22" ht="33.75" customHeight="1">
      <c r="A10" s="1">
        <f t="shared" si="1"/>
        <v>3.0699999999999985</v>
      </c>
      <c r="B10" s="295" t="s">
        <v>1116</v>
      </c>
      <c r="C10" s="296"/>
      <c r="D10" s="296"/>
      <c r="E10" s="308" t="s">
        <v>1501</v>
      </c>
      <c r="F10" s="308"/>
      <c r="G10" s="208">
        <v>1</v>
      </c>
      <c r="H10" s="209" t="s">
        <v>1500</v>
      </c>
      <c r="I10" s="270" t="s">
        <v>1117</v>
      </c>
      <c r="J10" s="270"/>
      <c r="K10" s="270"/>
      <c r="L10" s="270"/>
      <c r="M10" s="270"/>
      <c r="N10" s="270"/>
      <c r="O10" s="85" t="s">
        <v>37</v>
      </c>
      <c r="P10" s="90" t="s">
        <v>1460</v>
      </c>
      <c r="U10" t="s">
        <v>1502</v>
      </c>
      <c r="V10" s="3" t="str">
        <f>IF(G10=E10,"",IF(G10="","",CONCATENATE(P10," - ",T10)))</f>
        <v>DL_DB_FEATURE_ID_STK_DISPLAY_TEXT_TIMEOUT_TIME - </v>
      </c>
    </row>
    <row r="11" spans="1:22" ht="50.25" customHeight="1">
      <c r="A11" s="1">
        <f t="shared" si="1"/>
        <v>3.0799999999999983</v>
      </c>
      <c r="B11" s="295" t="s">
        <v>1118</v>
      </c>
      <c r="C11" s="296"/>
      <c r="D11" s="296"/>
      <c r="E11" s="281" t="s">
        <v>322</v>
      </c>
      <c r="F11" s="311"/>
      <c r="G11" s="308" t="s">
        <v>322</v>
      </c>
      <c r="H11" s="308"/>
      <c r="I11" s="312" t="s">
        <v>286</v>
      </c>
      <c r="J11" s="270"/>
      <c r="K11" s="270"/>
      <c r="L11" s="270"/>
      <c r="M11" s="270"/>
      <c r="N11" s="270"/>
      <c r="O11" s="71" t="s">
        <v>1565</v>
      </c>
      <c r="P11" s="90" t="s">
        <v>1461</v>
      </c>
      <c r="Q11" t="s">
        <v>322</v>
      </c>
      <c r="R11" t="s">
        <v>689</v>
      </c>
      <c r="V11" s="3">
        <f>IF(G11="","",IF(ISERROR(SEARCH(E11,G11)),CONCATENATE(P11," - ",G11),""))</f>
      </c>
    </row>
    <row r="12" spans="1:22" ht="57" customHeight="1">
      <c r="A12" s="1">
        <f>A11+0.01</f>
        <v>3.089999999999998</v>
      </c>
      <c r="B12" s="295" t="s">
        <v>92</v>
      </c>
      <c r="C12" s="296"/>
      <c r="D12" s="296"/>
      <c r="E12" s="320" t="s">
        <v>689</v>
      </c>
      <c r="F12" s="320"/>
      <c r="G12" s="308" t="s">
        <v>322</v>
      </c>
      <c r="H12" s="308"/>
      <c r="I12" s="270" t="s">
        <v>91</v>
      </c>
      <c r="J12" s="270"/>
      <c r="K12" s="270"/>
      <c r="L12" s="270"/>
      <c r="M12" s="270"/>
      <c r="N12" s="270"/>
      <c r="O12" s="95" t="s">
        <v>93</v>
      </c>
      <c r="P12" s="37" t="s">
        <v>90</v>
      </c>
      <c r="Q12" t="s">
        <v>322</v>
      </c>
      <c r="R12" t="s">
        <v>689</v>
      </c>
      <c r="V12" s="3" t="str">
        <f>IF(G12="","",IF(ISERROR(SEARCH(E12,G12)),CONCATENATE(P12," - ",G12),""))</f>
        <v>DL_DB_FEATURE_ID_MMS_SIM_CHANGE_DELETE - On</v>
      </c>
    </row>
    <row r="13" spans="1:15" ht="12.75">
      <c r="A13" s="80"/>
      <c r="B13" s="80"/>
      <c r="C13" s="80"/>
      <c r="D13" s="80"/>
      <c r="E13" s="80"/>
      <c r="F13" s="80"/>
      <c r="G13" s="80"/>
      <c r="H13" s="80"/>
      <c r="I13" s="80"/>
      <c r="J13" s="80"/>
      <c r="K13" s="80"/>
      <c r="L13" s="80"/>
      <c r="M13" s="80"/>
      <c r="N13" s="80"/>
      <c r="O13" s="80"/>
    </row>
    <row r="14" spans="1:15" ht="12.75">
      <c r="A14" s="80"/>
      <c r="B14" s="80"/>
      <c r="C14" s="80"/>
      <c r="D14" s="80"/>
      <c r="E14" s="80"/>
      <c r="F14" s="80"/>
      <c r="G14" s="80"/>
      <c r="H14" s="80"/>
      <c r="I14" s="80"/>
      <c r="J14" s="80"/>
      <c r="K14" s="80"/>
      <c r="L14" s="80"/>
      <c r="M14" s="80"/>
      <c r="N14" s="80"/>
      <c r="O14" s="80"/>
    </row>
    <row r="15" spans="1:23" ht="12.75">
      <c r="A15" s="43"/>
      <c r="B15" s="43"/>
      <c r="C15" s="43"/>
      <c r="D15" s="43"/>
      <c r="E15" s="43"/>
      <c r="F15" s="43"/>
      <c r="G15" s="43"/>
      <c r="H15" s="43"/>
      <c r="I15" s="43"/>
      <c r="J15" s="43"/>
      <c r="K15" s="43"/>
      <c r="L15" s="43"/>
      <c r="M15" s="43"/>
      <c r="N15" s="43"/>
      <c r="O15" s="43"/>
      <c r="P15" s="15"/>
      <c r="Q15" s="15"/>
      <c r="R15" s="15"/>
      <c r="S15" s="15"/>
      <c r="T15" s="15"/>
      <c r="U15" s="15"/>
      <c r="V15" s="15"/>
      <c r="W15" s="15"/>
    </row>
    <row r="16" spans="1:23" ht="12.75">
      <c r="A16" s="43"/>
      <c r="B16" s="43"/>
      <c r="C16" s="43"/>
      <c r="D16" s="43"/>
      <c r="E16" s="43"/>
      <c r="F16" s="43"/>
      <c r="G16" s="43"/>
      <c r="H16" s="43"/>
      <c r="I16" s="43"/>
      <c r="J16" s="43"/>
      <c r="K16" s="43"/>
      <c r="L16" s="43"/>
      <c r="M16" s="43"/>
      <c r="N16" s="43"/>
      <c r="O16" s="43"/>
      <c r="P16" s="15"/>
      <c r="Q16" s="15"/>
      <c r="R16" s="15"/>
      <c r="S16" s="15"/>
      <c r="T16" s="15"/>
      <c r="U16" s="15"/>
      <c r="V16" s="15"/>
      <c r="W16" s="15"/>
    </row>
    <row r="17" spans="1:23" ht="12.75">
      <c r="A17" s="43"/>
      <c r="B17" s="43"/>
      <c r="C17" s="43"/>
      <c r="D17" s="43"/>
      <c r="E17" s="43"/>
      <c r="F17" s="43"/>
      <c r="G17" s="43"/>
      <c r="H17" s="43"/>
      <c r="I17" s="43"/>
      <c r="J17" s="43"/>
      <c r="K17" s="43"/>
      <c r="L17" s="43"/>
      <c r="M17" s="43"/>
      <c r="N17" s="43"/>
      <c r="O17" s="43"/>
      <c r="P17" s="15"/>
      <c r="Q17" s="15"/>
      <c r="R17" s="15"/>
      <c r="S17" s="15"/>
      <c r="T17" s="15"/>
      <c r="U17" s="15"/>
      <c r="V17" s="15"/>
      <c r="W17" s="15"/>
    </row>
    <row r="18" spans="1:23" ht="12.75">
      <c r="A18" s="43"/>
      <c r="B18" s="43"/>
      <c r="C18" s="43"/>
      <c r="D18" s="43"/>
      <c r="E18" s="43"/>
      <c r="F18" s="43"/>
      <c r="G18" s="43"/>
      <c r="H18" s="43"/>
      <c r="I18" s="43"/>
      <c r="J18" s="43"/>
      <c r="K18" s="43"/>
      <c r="L18" s="43"/>
      <c r="M18" s="43"/>
      <c r="N18" s="43"/>
      <c r="O18" s="43"/>
      <c r="P18" s="15"/>
      <c r="Q18" s="15"/>
      <c r="R18" s="15"/>
      <c r="S18" s="15"/>
      <c r="T18" s="15"/>
      <c r="U18" s="15"/>
      <c r="V18" s="15"/>
      <c r="W18" s="15"/>
    </row>
    <row r="19" spans="1:23" ht="12.75">
      <c r="A19" s="43"/>
      <c r="B19" s="43"/>
      <c r="C19" s="43"/>
      <c r="D19" s="43"/>
      <c r="E19" s="43"/>
      <c r="F19" s="43"/>
      <c r="G19" s="43"/>
      <c r="H19" s="43"/>
      <c r="I19" s="43"/>
      <c r="J19" s="43"/>
      <c r="K19" s="43"/>
      <c r="L19" s="43"/>
      <c r="M19" s="43"/>
      <c r="N19" s="43"/>
      <c r="O19" s="43"/>
      <c r="P19" s="15"/>
      <c r="Q19" s="15"/>
      <c r="R19" s="15"/>
      <c r="S19" s="15"/>
      <c r="T19" s="15"/>
      <c r="U19" s="15"/>
      <c r="V19" s="15"/>
      <c r="W19" s="15"/>
    </row>
    <row r="20" spans="1:23" ht="12.75">
      <c r="A20" s="43"/>
      <c r="B20" s="43"/>
      <c r="C20" s="43"/>
      <c r="D20" s="43"/>
      <c r="E20" s="43"/>
      <c r="F20" s="43"/>
      <c r="G20" s="43"/>
      <c r="H20" s="43"/>
      <c r="I20" s="43"/>
      <c r="J20" s="43"/>
      <c r="K20" s="43"/>
      <c r="L20" s="43"/>
      <c r="M20" s="43"/>
      <c r="N20" s="43"/>
      <c r="O20" s="43"/>
      <c r="P20" s="15"/>
      <c r="Q20" s="15"/>
      <c r="R20" s="15"/>
      <c r="S20" s="15"/>
      <c r="T20" s="15"/>
      <c r="U20" s="15"/>
      <c r="V20" s="15"/>
      <c r="W20" s="15"/>
    </row>
    <row r="21" spans="1:23" ht="12.75">
      <c r="A21" s="43"/>
      <c r="B21" s="43"/>
      <c r="C21" s="43"/>
      <c r="D21" s="43"/>
      <c r="E21" s="43"/>
      <c r="F21" s="43"/>
      <c r="G21" s="43"/>
      <c r="H21" s="43"/>
      <c r="I21" s="43"/>
      <c r="J21" s="43"/>
      <c r="K21" s="43"/>
      <c r="L21" s="43"/>
      <c r="M21" s="43"/>
      <c r="N21" s="43"/>
      <c r="O21" s="43"/>
      <c r="P21" s="15"/>
      <c r="Q21" s="15"/>
      <c r="R21" s="15"/>
      <c r="S21" s="15"/>
      <c r="T21" s="15"/>
      <c r="U21" s="15"/>
      <c r="V21" s="15"/>
      <c r="W21" s="15"/>
    </row>
    <row r="22" spans="1:23" ht="12.75">
      <c r="A22" s="43"/>
      <c r="B22" s="43"/>
      <c r="C22" s="43"/>
      <c r="D22" s="43"/>
      <c r="E22" s="43"/>
      <c r="F22" s="43"/>
      <c r="G22" s="43"/>
      <c r="H22" s="43"/>
      <c r="I22" s="43"/>
      <c r="J22" s="43"/>
      <c r="K22" s="43"/>
      <c r="L22" s="43"/>
      <c r="M22" s="43"/>
      <c r="N22" s="43"/>
      <c r="O22" s="43"/>
      <c r="P22" s="15"/>
      <c r="Q22" s="15"/>
      <c r="R22" s="15"/>
      <c r="S22" s="15"/>
      <c r="T22" s="15"/>
      <c r="U22" s="15"/>
      <c r="V22" s="15"/>
      <c r="W22" s="15"/>
    </row>
    <row r="23" spans="1:23" ht="12.75">
      <c r="A23" s="43"/>
      <c r="B23" s="43"/>
      <c r="C23" s="43"/>
      <c r="D23" s="43"/>
      <c r="E23" s="43"/>
      <c r="F23" s="43"/>
      <c r="G23" s="43"/>
      <c r="H23" s="43"/>
      <c r="I23" s="43"/>
      <c r="J23" s="43"/>
      <c r="K23" s="43"/>
      <c r="L23" s="43"/>
      <c r="M23" s="43"/>
      <c r="N23" s="43"/>
      <c r="O23" s="43"/>
      <c r="P23" s="15"/>
      <c r="Q23" s="15"/>
      <c r="R23" s="15"/>
      <c r="S23" s="15"/>
      <c r="T23" s="15"/>
      <c r="U23" s="15"/>
      <c r="V23" s="15"/>
      <c r="W23" s="15"/>
    </row>
    <row r="24" spans="1:23" ht="12.75">
      <c r="A24" s="97"/>
      <c r="B24" s="43"/>
      <c r="C24" s="43"/>
      <c r="D24" s="43"/>
      <c r="E24" s="43"/>
      <c r="F24" s="43"/>
      <c r="G24" s="43"/>
      <c r="H24" s="43"/>
      <c r="I24" s="43"/>
      <c r="J24" s="43"/>
      <c r="K24" s="43"/>
      <c r="L24" s="43"/>
      <c r="M24" s="43"/>
      <c r="N24" s="43"/>
      <c r="O24" s="43"/>
      <c r="P24" s="15"/>
      <c r="Q24" s="15"/>
      <c r="R24" s="15"/>
      <c r="S24" s="15"/>
      <c r="T24" s="15"/>
      <c r="U24" s="15"/>
      <c r="V24" s="15"/>
      <c r="W24" s="15"/>
    </row>
    <row r="25" spans="1:23" ht="12.75">
      <c r="A25" s="97"/>
      <c r="B25" s="43"/>
      <c r="C25" s="43"/>
      <c r="D25" s="43"/>
      <c r="E25" s="43"/>
      <c r="F25" s="43"/>
      <c r="G25" s="43"/>
      <c r="H25" s="43"/>
      <c r="I25" s="43"/>
      <c r="J25" s="43"/>
      <c r="K25" s="43"/>
      <c r="L25" s="43"/>
      <c r="M25" s="43"/>
      <c r="N25" s="43"/>
      <c r="O25" s="43"/>
      <c r="P25" s="15"/>
      <c r="Q25" s="15"/>
      <c r="R25" s="15"/>
      <c r="S25" s="15"/>
      <c r="T25" s="15"/>
      <c r="U25" s="15"/>
      <c r="V25" s="15"/>
      <c r="W25" s="15"/>
    </row>
    <row r="26" spans="1:23" ht="12.75">
      <c r="A26" s="97"/>
      <c r="B26" s="43"/>
      <c r="C26" s="43"/>
      <c r="D26" s="43"/>
      <c r="E26" s="43"/>
      <c r="F26" s="43"/>
      <c r="G26" s="43"/>
      <c r="H26" s="43"/>
      <c r="I26" s="43"/>
      <c r="J26" s="43"/>
      <c r="K26" s="43"/>
      <c r="L26" s="43"/>
      <c r="M26" s="43"/>
      <c r="N26" s="43"/>
      <c r="O26" s="43"/>
      <c r="P26" s="15"/>
      <c r="Q26" s="15"/>
      <c r="R26" s="15"/>
      <c r="S26" s="15"/>
      <c r="T26" s="15"/>
      <c r="U26" s="15"/>
      <c r="V26" s="15"/>
      <c r="W26" s="15"/>
    </row>
    <row r="27" spans="1:23" ht="12.75">
      <c r="A27" s="97"/>
      <c r="B27" s="43"/>
      <c r="C27" s="43"/>
      <c r="D27" s="43"/>
      <c r="E27" s="43"/>
      <c r="F27" s="43"/>
      <c r="G27" s="43"/>
      <c r="H27" s="43"/>
      <c r="I27" s="43"/>
      <c r="J27" s="43"/>
      <c r="K27" s="43"/>
      <c r="L27" s="43"/>
      <c r="M27" s="43"/>
      <c r="N27" s="43"/>
      <c r="O27" s="43"/>
      <c r="P27" s="15"/>
      <c r="Q27" s="15"/>
      <c r="R27" s="15"/>
      <c r="S27" s="15"/>
      <c r="T27" s="15"/>
      <c r="U27" s="15"/>
      <c r="V27" s="15"/>
      <c r="W27" s="15"/>
    </row>
    <row r="28" spans="1:23" ht="12.75">
      <c r="A28" s="97"/>
      <c r="B28" s="43"/>
      <c r="C28" s="43"/>
      <c r="D28" s="43"/>
      <c r="E28" s="43"/>
      <c r="F28" s="43"/>
      <c r="G28" s="43"/>
      <c r="H28" s="43"/>
      <c r="I28" s="43"/>
      <c r="J28" s="43"/>
      <c r="K28" s="43"/>
      <c r="L28" s="43"/>
      <c r="M28" s="43"/>
      <c r="N28" s="43"/>
      <c r="O28" s="43"/>
      <c r="P28" s="15"/>
      <c r="Q28" s="15"/>
      <c r="R28" s="15"/>
      <c r="S28" s="15"/>
      <c r="T28" s="15"/>
      <c r="U28" s="15"/>
      <c r="V28" s="15"/>
      <c r="W28" s="15"/>
    </row>
    <row r="29" spans="1:15" ht="12.75">
      <c r="A29" s="98"/>
      <c r="B29" s="80"/>
      <c r="C29" s="80"/>
      <c r="D29" s="80"/>
      <c r="E29" s="80"/>
      <c r="F29" s="80"/>
      <c r="G29" s="80"/>
      <c r="H29" s="80"/>
      <c r="I29" s="80"/>
      <c r="J29" s="80"/>
      <c r="K29" s="80"/>
      <c r="L29" s="80"/>
      <c r="M29" s="80"/>
      <c r="N29" s="80"/>
      <c r="O29" s="80"/>
    </row>
    <row r="30" spans="1:15" ht="12.75">
      <c r="A30" s="98"/>
      <c r="B30" s="80"/>
      <c r="C30" s="80"/>
      <c r="D30" s="80"/>
      <c r="E30" s="80"/>
      <c r="F30" s="80"/>
      <c r="G30" s="80"/>
      <c r="H30" s="80"/>
      <c r="I30" s="80"/>
      <c r="J30" s="80"/>
      <c r="K30" s="80"/>
      <c r="L30" s="80"/>
      <c r="M30" s="80"/>
      <c r="N30" s="80"/>
      <c r="O30" s="80"/>
    </row>
    <row r="31" spans="1:15" ht="12.75">
      <c r="A31" s="98"/>
      <c r="B31" s="80"/>
      <c r="C31" s="80"/>
      <c r="D31" s="80"/>
      <c r="E31" s="80"/>
      <c r="F31" s="80"/>
      <c r="G31" s="80"/>
      <c r="H31" s="80"/>
      <c r="I31" s="80"/>
      <c r="J31" s="80"/>
      <c r="K31" s="80"/>
      <c r="L31" s="80"/>
      <c r="M31" s="80"/>
      <c r="N31" s="80"/>
      <c r="O31" s="80"/>
    </row>
    <row r="32" ht="12.75">
      <c r="A32" s="31"/>
    </row>
    <row r="33" ht="12.75">
      <c r="A33" s="31"/>
    </row>
    <row r="34" ht="12.75">
      <c r="A34" s="31"/>
    </row>
    <row r="35" ht="12.75">
      <c r="A35" s="31"/>
    </row>
    <row r="36" ht="12.75">
      <c r="A36" s="31"/>
    </row>
    <row r="37" ht="12.75">
      <c r="A37" s="31"/>
    </row>
    <row r="38" ht="12.75">
      <c r="A38" s="31"/>
    </row>
    <row r="39" ht="12.75">
      <c r="A39" s="31"/>
    </row>
    <row r="40" ht="12.75">
      <c r="A40" s="31"/>
    </row>
    <row r="41" ht="12.75">
      <c r="A41" s="31"/>
    </row>
    <row r="42" ht="12.75">
      <c r="A42" s="31"/>
    </row>
    <row r="43" ht="12.75">
      <c r="A43" s="31"/>
    </row>
    <row r="44" ht="12.75">
      <c r="A44" s="31"/>
    </row>
    <row r="45" ht="12.75">
      <c r="A45" s="31"/>
    </row>
    <row r="46" ht="12.75">
      <c r="A46" s="31"/>
    </row>
    <row r="47" ht="12.75">
      <c r="A47" s="31"/>
    </row>
    <row r="48" ht="12.75">
      <c r="A48" s="31"/>
    </row>
    <row r="49" ht="12.75">
      <c r="A49" s="31"/>
    </row>
    <row r="50" ht="12.75">
      <c r="A50" s="31"/>
    </row>
    <row r="51" ht="12.75">
      <c r="A51" s="31"/>
    </row>
    <row r="52" ht="12.75">
      <c r="A52" s="31"/>
    </row>
  </sheetData>
  <mergeCells count="44">
    <mergeCell ref="I12:N12"/>
    <mergeCell ref="B12:D12"/>
    <mergeCell ref="E12:F12"/>
    <mergeCell ref="G12:H12"/>
    <mergeCell ref="B11:D11"/>
    <mergeCell ref="E11:F11"/>
    <mergeCell ref="G11:H11"/>
    <mergeCell ref="I11:N11"/>
    <mergeCell ref="B10:D10"/>
    <mergeCell ref="E10:F10"/>
    <mergeCell ref="I10:N10"/>
    <mergeCell ref="B6:D6"/>
    <mergeCell ref="E6:F6"/>
    <mergeCell ref="G6:H6"/>
    <mergeCell ref="I6:N6"/>
    <mergeCell ref="E8:F8"/>
    <mergeCell ref="G8:H8"/>
    <mergeCell ref="I8:N8"/>
    <mergeCell ref="B5:D5"/>
    <mergeCell ref="E5:F5"/>
    <mergeCell ref="G5:H5"/>
    <mergeCell ref="I5:N5"/>
    <mergeCell ref="A1:A2"/>
    <mergeCell ref="B2:D2"/>
    <mergeCell ref="E2:F2"/>
    <mergeCell ref="G2:H2"/>
    <mergeCell ref="I2:N2"/>
    <mergeCell ref="B1:P1"/>
    <mergeCell ref="B9:D9"/>
    <mergeCell ref="E9:F9"/>
    <mergeCell ref="I9:N9"/>
    <mergeCell ref="B7:D7"/>
    <mergeCell ref="E7:F7"/>
    <mergeCell ref="G7:H7"/>
    <mergeCell ref="I7:N7"/>
    <mergeCell ref="B8:D8"/>
    <mergeCell ref="I3:N3"/>
    <mergeCell ref="G3:H3"/>
    <mergeCell ref="E3:F3"/>
    <mergeCell ref="B3:D3"/>
    <mergeCell ref="B4:D4"/>
    <mergeCell ref="E4:F4"/>
    <mergeCell ref="G4:H4"/>
    <mergeCell ref="I4:N4"/>
  </mergeCells>
  <conditionalFormatting sqref="G9:H10">
    <cfRule type="cellIs" priority="1" dxfId="0" operator="equal" stopIfTrue="1">
      <formula>""</formula>
    </cfRule>
  </conditionalFormatting>
  <dataValidations count="9">
    <dataValidation type="list" allowBlank="1" showInputMessage="1" showErrorMessage="1" sqref="G3:H3">
      <formula1>$Q$3:$R$3</formula1>
    </dataValidation>
    <dataValidation type="list" allowBlank="1" showInputMessage="1" showErrorMessage="1" sqref="G4:H4">
      <formula1>$Q$4:$R$4</formula1>
    </dataValidation>
    <dataValidation type="list" allowBlank="1" showInputMessage="1" showErrorMessage="1" sqref="G5:H5">
      <formula1>$Q$5:$T$5</formula1>
    </dataValidation>
    <dataValidation type="list" allowBlank="1" showInputMessage="1" showErrorMessage="1" sqref="G6:H6">
      <formula1>$Q$6:$R$6</formula1>
    </dataValidation>
    <dataValidation type="list" allowBlank="1" showInputMessage="1" showErrorMessage="1" sqref="G7:H7">
      <formula1>$Q$7:$R$7</formula1>
    </dataValidation>
    <dataValidation type="list" allowBlank="1" showInputMessage="1" showErrorMessage="1" sqref="G8:H8">
      <formula1>$Q$8:$R$8</formula1>
    </dataValidation>
    <dataValidation type="list" allowBlank="1" showInputMessage="1" showErrorMessage="1" sqref="G11:H12">
      <formula1>$Q$11:$R$11</formula1>
    </dataValidation>
    <dataValidation errorStyle="information" type="decimal" operator="greaterThanOrEqual" allowBlank="1" showInputMessage="1" showErrorMessage="1" errorTitle="Please enter only numbers" error="Please enter only numbers!&#10;&#10;For values in seconds, please follow the exemple:&#10;&#10;for 2 seconds use: 2/60   [0.3333333]&#10;for 30 seconds use: 30/60    [0.50]&#10;" sqref="G9:G10">
      <formula1>0</formula1>
    </dataValidation>
    <dataValidation errorStyle="information" type="list" operator="greaterThanOrEqual" allowBlank="1" showInputMessage="1" showErrorMessage="1" errorTitle="Please enter only numbers" error="Please enter only numbers!&#10;&#10;For values in seconds, please follow the exemple:&#10;&#10;for 2 seconds use: 2/60   [0.3333333]&#10;for 30 seconds use: 30/60    [0.50]&#10;" sqref="H9:H10">
      <formula1>$U$9:$U$10</formula1>
    </dataValidation>
  </dataValidations>
  <printOptions/>
  <pageMargins left="0.75" right="0.75" top="1" bottom="1" header="0.5" footer="0.5"/>
  <pageSetup fitToHeight="23" fitToWidth="1" horizontalDpi="600" verticalDpi="600" orientation="portrait" scale="70"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Z57"/>
  <sheetViews>
    <sheetView showGridLines="0" zoomScale="75" zoomScaleNormal="75" zoomScaleSheetLayoutView="100" workbookViewId="0" topLeftCell="A1">
      <selection activeCell="B2" sqref="B2:D2"/>
    </sheetView>
  </sheetViews>
  <sheetFormatPr defaultColWidth="9.140625" defaultRowHeight="12.75"/>
  <cols>
    <col min="4" max="4" width="9.57421875" style="0" customWidth="1"/>
    <col min="8" max="8" width="11.8515625" style="0" customWidth="1"/>
    <col min="15" max="15" width="81.7109375" style="0" customWidth="1"/>
    <col min="16" max="16" width="60.8515625" style="0" hidden="1" customWidth="1"/>
    <col min="17" max="17" width="5.57421875" style="0" hidden="1" customWidth="1"/>
    <col min="18" max="18" width="4.140625" style="0" hidden="1" customWidth="1"/>
    <col min="19" max="19" width="4.421875" style="0" hidden="1" customWidth="1"/>
    <col min="20" max="20" width="10.421875" style="0" hidden="1" customWidth="1"/>
    <col min="21" max="21" width="22.28125" style="0" hidden="1" customWidth="1"/>
    <col min="22" max="26" width="9.140625" style="0" hidden="1" customWidth="1"/>
  </cols>
  <sheetData>
    <row r="1" spans="1:16" ht="18.75" thickTop="1">
      <c r="A1" s="291" t="s">
        <v>323</v>
      </c>
      <c r="B1" s="316" t="s">
        <v>538</v>
      </c>
      <c r="C1" s="317"/>
      <c r="D1" s="317"/>
      <c r="E1" s="317"/>
      <c r="F1" s="317"/>
      <c r="G1" s="317"/>
      <c r="H1" s="317"/>
      <c r="I1" s="317"/>
      <c r="J1" s="317"/>
      <c r="K1" s="317"/>
      <c r="L1" s="317"/>
      <c r="M1" s="317"/>
      <c r="N1" s="317"/>
      <c r="O1" s="318"/>
      <c r="P1" s="319"/>
    </row>
    <row r="2" spans="1:16" ht="12.75">
      <c r="A2" s="291"/>
      <c r="B2" s="237" t="s">
        <v>314</v>
      </c>
      <c r="C2" s="237"/>
      <c r="D2" s="237"/>
      <c r="E2" s="237" t="s">
        <v>315</v>
      </c>
      <c r="F2" s="237"/>
      <c r="G2" s="237" t="s">
        <v>316</v>
      </c>
      <c r="H2" s="237"/>
      <c r="I2" s="237" t="s">
        <v>317</v>
      </c>
      <c r="J2" s="237"/>
      <c r="K2" s="237"/>
      <c r="L2" s="237"/>
      <c r="M2" s="237"/>
      <c r="N2" s="237"/>
      <c r="O2" s="63" t="s">
        <v>1333</v>
      </c>
      <c r="P2" s="63" t="s">
        <v>673</v>
      </c>
    </row>
    <row r="3" spans="1:22" ht="50.25" customHeight="1">
      <c r="A3" s="1">
        <v>4</v>
      </c>
      <c r="B3" s="295" t="s">
        <v>287</v>
      </c>
      <c r="C3" s="296"/>
      <c r="D3" s="296"/>
      <c r="E3" s="323" t="s">
        <v>322</v>
      </c>
      <c r="F3" s="323"/>
      <c r="G3" s="308" t="s">
        <v>322</v>
      </c>
      <c r="H3" s="308"/>
      <c r="I3" s="312" t="s">
        <v>1229</v>
      </c>
      <c r="J3" s="270"/>
      <c r="K3" s="270"/>
      <c r="L3" s="270"/>
      <c r="M3" s="270"/>
      <c r="N3" s="270"/>
      <c r="O3" s="85" t="s">
        <v>1566</v>
      </c>
      <c r="P3" s="90" t="s">
        <v>756</v>
      </c>
      <c r="Q3" t="s">
        <v>322</v>
      </c>
      <c r="R3" t="s">
        <v>689</v>
      </c>
      <c r="V3">
        <f>IF(G3="","",IF(ISERROR(SEARCH(E3,G3)),CONCATENATE(P3," - ",G3),""))</f>
      </c>
    </row>
    <row r="4" spans="1:22" ht="50.25" customHeight="1">
      <c r="A4" s="1">
        <f>A3+0.01</f>
        <v>4.01</v>
      </c>
      <c r="B4" s="324" t="s">
        <v>943</v>
      </c>
      <c r="C4" s="325"/>
      <c r="D4" s="326"/>
      <c r="E4" s="323" t="s">
        <v>322</v>
      </c>
      <c r="F4" s="323"/>
      <c r="G4" s="308" t="s">
        <v>689</v>
      </c>
      <c r="H4" s="308"/>
      <c r="I4" s="243" t="s">
        <v>944</v>
      </c>
      <c r="J4" s="234"/>
      <c r="K4" s="234"/>
      <c r="L4" s="234"/>
      <c r="M4" s="234"/>
      <c r="N4" s="235"/>
      <c r="O4" s="87" t="s">
        <v>568</v>
      </c>
      <c r="P4" s="90" t="s">
        <v>757</v>
      </c>
      <c r="Q4" t="s">
        <v>322</v>
      </c>
      <c r="R4" t="s">
        <v>689</v>
      </c>
      <c r="V4" t="str">
        <f>IF(G4="","",IF(ISERROR(SEARCH(E4,G4)),CONCATENATE(P4," - ",G4),""))</f>
        <v>DL_DB_FEATURE_ID_UNICODE_MOSMS_AVAILABLE - Off</v>
      </c>
    </row>
    <row r="5" spans="1:22" ht="50.25" customHeight="1">
      <c r="A5" s="1">
        <f>A4+0.01</f>
        <v>4.02</v>
      </c>
      <c r="B5" s="295" t="s">
        <v>698</v>
      </c>
      <c r="C5" s="296"/>
      <c r="D5" s="296"/>
      <c r="E5" s="323" t="s">
        <v>942</v>
      </c>
      <c r="F5" s="323"/>
      <c r="G5" s="323" t="s">
        <v>942</v>
      </c>
      <c r="H5" s="323"/>
      <c r="I5" s="270" t="s">
        <v>665</v>
      </c>
      <c r="J5" s="270"/>
      <c r="K5" s="270"/>
      <c r="L5" s="270"/>
      <c r="M5" s="270"/>
      <c r="N5" s="270"/>
      <c r="O5" s="85" t="s">
        <v>1427</v>
      </c>
      <c r="P5" s="90" t="s">
        <v>758</v>
      </c>
      <c r="V5">
        <f>IF(G5="","",IF(ISERROR(SEARCH(E5,G5)),CONCATENATE(P5," - ",G5),""))</f>
      </c>
    </row>
    <row r="6" spans="1:26" ht="50.25" customHeight="1">
      <c r="A6" s="1">
        <f aca="true" t="shared" si="0" ref="A6:A15">A5+0.01</f>
        <v>4.029999999999999</v>
      </c>
      <c r="B6" s="295" t="s">
        <v>699</v>
      </c>
      <c r="C6" s="296"/>
      <c r="D6" s="296"/>
      <c r="E6" s="323" t="s">
        <v>843</v>
      </c>
      <c r="F6" s="323"/>
      <c r="G6" s="320" t="s">
        <v>843</v>
      </c>
      <c r="H6" s="320"/>
      <c r="I6" s="270" t="s">
        <v>716</v>
      </c>
      <c r="J6" s="270"/>
      <c r="K6" s="270"/>
      <c r="L6" s="270"/>
      <c r="M6" s="270"/>
      <c r="N6" s="270"/>
      <c r="O6" s="85" t="s">
        <v>1310</v>
      </c>
      <c r="P6" s="90" t="s">
        <v>658</v>
      </c>
      <c r="Q6" s="130" t="s">
        <v>845</v>
      </c>
      <c r="R6" t="s">
        <v>1247</v>
      </c>
      <c r="S6" t="s">
        <v>124</v>
      </c>
      <c r="T6" t="s">
        <v>125</v>
      </c>
      <c r="U6" t="s">
        <v>843</v>
      </c>
      <c r="V6" t="s">
        <v>126</v>
      </c>
      <c r="W6" t="s">
        <v>127</v>
      </c>
      <c r="X6" t="s">
        <v>844</v>
      </c>
      <c r="Y6" t="s">
        <v>691</v>
      </c>
      <c r="Z6" t="s">
        <v>707</v>
      </c>
    </row>
    <row r="7" spans="1:25" ht="50.25" customHeight="1">
      <c r="A7" s="1">
        <f t="shared" si="0"/>
        <v>4.039999999999999</v>
      </c>
      <c r="B7" s="295" t="s">
        <v>289</v>
      </c>
      <c r="C7" s="296"/>
      <c r="D7" s="296"/>
      <c r="E7" s="323" t="s">
        <v>1199</v>
      </c>
      <c r="F7" s="323"/>
      <c r="G7" s="323" t="s">
        <v>691</v>
      </c>
      <c r="H7" s="323"/>
      <c r="I7" s="270" t="s">
        <v>717</v>
      </c>
      <c r="J7" s="270"/>
      <c r="K7" s="270"/>
      <c r="L7" s="270"/>
      <c r="M7" s="270"/>
      <c r="N7" s="270"/>
      <c r="O7" s="85" t="s">
        <v>1311</v>
      </c>
      <c r="P7" s="90" t="s">
        <v>659</v>
      </c>
      <c r="Q7" t="s">
        <v>845</v>
      </c>
      <c r="R7" t="s">
        <v>843</v>
      </c>
      <c r="S7" t="s">
        <v>844</v>
      </c>
      <c r="T7" t="s">
        <v>1247</v>
      </c>
      <c r="U7" t="s">
        <v>691</v>
      </c>
      <c r="V7" t="s">
        <v>707</v>
      </c>
      <c r="W7" s="210" t="str">
        <f>'01_Initial Setup'!C9</f>
        <v>0003</v>
      </c>
      <c r="X7" t="s">
        <v>1035</v>
      </c>
      <c r="Y7" t="s">
        <v>1035</v>
      </c>
    </row>
    <row r="8" spans="1:22" ht="50.25" customHeight="1">
      <c r="A8" s="1">
        <f t="shared" si="0"/>
        <v>4.049999999999999</v>
      </c>
      <c r="B8" s="295" t="s">
        <v>290</v>
      </c>
      <c r="C8" s="296"/>
      <c r="D8" s="296"/>
      <c r="E8" s="323" t="s">
        <v>322</v>
      </c>
      <c r="F8" s="323"/>
      <c r="G8" s="308" t="s">
        <v>322</v>
      </c>
      <c r="H8" s="308"/>
      <c r="I8" s="270" t="s">
        <v>291</v>
      </c>
      <c r="J8" s="270"/>
      <c r="K8" s="270"/>
      <c r="L8" s="270"/>
      <c r="M8" s="270"/>
      <c r="N8" s="270"/>
      <c r="O8" s="85" t="s">
        <v>644</v>
      </c>
      <c r="P8" s="90" t="s">
        <v>660</v>
      </c>
      <c r="Q8" t="s">
        <v>322</v>
      </c>
      <c r="R8" t="s">
        <v>689</v>
      </c>
      <c r="V8">
        <f>IF(G8="","",IF(ISERROR(SEARCH(E8,G8)),CONCATENATE(P8," - ",G8),""))</f>
      </c>
    </row>
    <row r="9" spans="1:22" ht="50.25" customHeight="1">
      <c r="A9" s="1">
        <f t="shared" si="0"/>
        <v>4.059999999999999</v>
      </c>
      <c r="B9" s="295" t="s">
        <v>412</v>
      </c>
      <c r="C9" s="296"/>
      <c r="D9" s="296"/>
      <c r="E9" s="323" t="s">
        <v>1200</v>
      </c>
      <c r="F9" s="323"/>
      <c r="G9" s="323">
        <v>50</v>
      </c>
      <c r="H9" s="323"/>
      <c r="I9" s="270" t="s">
        <v>1497</v>
      </c>
      <c r="J9" s="270"/>
      <c r="K9" s="270"/>
      <c r="L9" s="270"/>
      <c r="M9" s="270"/>
      <c r="N9" s="270"/>
      <c r="O9" s="85" t="s">
        <v>645</v>
      </c>
      <c r="P9" s="90" t="s">
        <v>661</v>
      </c>
      <c r="V9" t="str">
        <f>IF(G9=E9,"",IF(G9="","",CONCATENATE(P9," -",G9)))</f>
        <v>DL_DB_FEATURE_ID_BROADCAST_QUICK_VIEW_CHANNEL -50</v>
      </c>
    </row>
    <row r="10" spans="1:22" ht="50.25" customHeight="1">
      <c r="A10" s="1">
        <f t="shared" si="0"/>
        <v>4.0699999999999985</v>
      </c>
      <c r="B10" s="295" t="s">
        <v>1498</v>
      </c>
      <c r="C10" s="296"/>
      <c r="D10" s="296"/>
      <c r="E10" s="323" t="s">
        <v>689</v>
      </c>
      <c r="F10" s="323"/>
      <c r="G10" s="241" t="s">
        <v>689</v>
      </c>
      <c r="H10" s="242"/>
      <c r="I10" s="270" t="s">
        <v>487</v>
      </c>
      <c r="J10" s="270"/>
      <c r="K10" s="270"/>
      <c r="L10" s="270"/>
      <c r="M10" s="270"/>
      <c r="N10" s="270"/>
      <c r="O10" s="85" t="s">
        <v>646</v>
      </c>
      <c r="P10" s="90" t="s">
        <v>662</v>
      </c>
      <c r="Q10" t="s">
        <v>322</v>
      </c>
      <c r="R10" t="s">
        <v>689</v>
      </c>
      <c r="V10">
        <f>IF(G10="","",IF(ISERROR(SEARCH(E10,G10)),CONCATENATE(P10," - ",G10),""))</f>
      </c>
    </row>
    <row r="11" spans="1:22" ht="50.25" customHeight="1">
      <c r="A11" s="1">
        <f t="shared" si="0"/>
        <v>4.079999999999998</v>
      </c>
      <c r="B11" s="278" t="s">
        <v>1230</v>
      </c>
      <c r="C11" s="279"/>
      <c r="D11" s="280"/>
      <c r="E11" s="321" t="s">
        <v>689</v>
      </c>
      <c r="F11" s="321"/>
      <c r="G11" s="241" t="s">
        <v>689</v>
      </c>
      <c r="H11" s="242"/>
      <c r="I11" s="243" t="s">
        <v>1201</v>
      </c>
      <c r="J11" s="234"/>
      <c r="K11" s="234"/>
      <c r="L11" s="234"/>
      <c r="M11" s="234"/>
      <c r="N11" s="235"/>
      <c r="O11" s="85" t="s">
        <v>574</v>
      </c>
      <c r="P11" s="90" t="s">
        <v>663</v>
      </c>
      <c r="Q11" t="s">
        <v>322</v>
      </c>
      <c r="R11" t="s">
        <v>689</v>
      </c>
      <c r="V11">
        <f>IF(G11="","",IF(ISERROR(SEARCH(E11,G11)),CONCATENATE(P11," - ",G11),""))</f>
      </c>
    </row>
    <row r="12" spans="1:22" ht="50.25" customHeight="1">
      <c r="A12" s="1">
        <f t="shared" si="0"/>
        <v>4.089999999999998</v>
      </c>
      <c r="B12" s="295" t="s">
        <v>488</v>
      </c>
      <c r="C12" s="296"/>
      <c r="D12" s="296"/>
      <c r="E12" s="321" t="s">
        <v>288</v>
      </c>
      <c r="F12" s="321"/>
      <c r="G12" s="322" t="s">
        <v>428</v>
      </c>
      <c r="H12" s="308"/>
      <c r="I12" s="270" t="s">
        <v>489</v>
      </c>
      <c r="J12" s="270"/>
      <c r="K12" s="270"/>
      <c r="L12" s="270"/>
      <c r="M12" s="270"/>
      <c r="N12" s="270"/>
      <c r="O12" s="70" t="s">
        <v>647</v>
      </c>
      <c r="P12" s="90"/>
      <c r="V12" t="str">
        <f>IF(G12=E12,"",IF(G12="","",CONCATENATE(G12)))</f>
        <v>http://mms.movistar.com.ve:8088/mms</v>
      </c>
    </row>
    <row r="13" spans="1:22" ht="50.25" customHeight="1">
      <c r="A13" s="1">
        <f t="shared" si="0"/>
        <v>4.099999999999998</v>
      </c>
      <c r="B13" s="295" t="s">
        <v>490</v>
      </c>
      <c r="C13" s="296"/>
      <c r="D13" s="296"/>
      <c r="E13" s="320" t="s">
        <v>1499</v>
      </c>
      <c r="F13" s="320"/>
      <c r="G13" s="308" t="s">
        <v>1499</v>
      </c>
      <c r="H13" s="308"/>
      <c r="I13" s="270" t="s">
        <v>1185</v>
      </c>
      <c r="J13" s="270"/>
      <c r="K13" s="270"/>
      <c r="L13" s="270"/>
      <c r="M13" s="270"/>
      <c r="N13" s="270"/>
      <c r="O13" s="70" t="s">
        <v>648</v>
      </c>
      <c r="P13" s="90"/>
      <c r="V13">
        <f>IF(G13=E13,"",IF(G13="","",CONCATENATE(G13)))</f>
      </c>
    </row>
    <row r="14" spans="1:22" ht="50.25" customHeight="1">
      <c r="A14" s="1">
        <f t="shared" si="0"/>
        <v>4.109999999999998</v>
      </c>
      <c r="B14" s="278" t="s">
        <v>539</v>
      </c>
      <c r="C14" s="279"/>
      <c r="D14" s="280"/>
      <c r="E14" s="241" t="s">
        <v>846</v>
      </c>
      <c r="F14" s="242"/>
      <c r="G14" s="241" t="s">
        <v>846</v>
      </c>
      <c r="H14" s="242"/>
      <c r="I14" s="275" t="s">
        <v>594</v>
      </c>
      <c r="J14" s="276"/>
      <c r="K14" s="276"/>
      <c r="L14" s="276"/>
      <c r="M14" s="276"/>
      <c r="N14" s="277"/>
      <c r="O14" s="85" t="s">
        <v>742</v>
      </c>
      <c r="P14" s="90" t="s">
        <v>664</v>
      </c>
      <c r="Q14" t="s">
        <v>942</v>
      </c>
      <c r="R14" t="s">
        <v>846</v>
      </c>
      <c r="S14" t="s">
        <v>847</v>
      </c>
      <c r="V14">
        <f>IF(G14="","",IF(ISERROR(SEARCH(E14,G14)),CONCATENATE(P14," - ",G14),""))</f>
      </c>
    </row>
    <row r="15" spans="1:22" ht="50.25" customHeight="1">
      <c r="A15" s="1">
        <f t="shared" si="0"/>
        <v>4.119999999999997</v>
      </c>
      <c r="B15" s="295" t="s">
        <v>813</v>
      </c>
      <c r="C15" s="296"/>
      <c r="D15" s="296"/>
      <c r="E15" s="308" t="s">
        <v>935</v>
      </c>
      <c r="F15" s="308"/>
      <c r="G15" s="308" t="s">
        <v>935</v>
      </c>
      <c r="H15" s="308"/>
      <c r="I15" s="270" t="s">
        <v>965</v>
      </c>
      <c r="J15" s="270"/>
      <c r="K15" s="270"/>
      <c r="L15" s="270"/>
      <c r="M15" s="270"/>
      <c r="N15" s="270"/>
      <c r="O15" s="85" t="s">
        <v>595</v>
      </c>
      <c r="P15" s="90"/>
      <c r="Q15" t="s">
        <v>942</v>
      </c>
      <c r="R15" t="s">
        <v>629</v>
      </c>
      <c r="S15" t="s">
        <v>935</v>
      </c>
      <c r="T15" t="s">
        <v>630</v>
      </c>
      <c r="U15" t="s">
        <v>205</v>
      </c>
      <c r="V15" t="s">
        <v>1197</v>
      </c>
    </row>
    <row r="29" ht="12.75">
      <c r="A29" s="31"/>
    </row>
    <row r="30" ht="12.75">
      <c r="A30" s="31"/>
    </row>
    <row r="31" ht="12.75">
      <c r="A31" s="31"/>
    </row>
    <row r="32" ht="12.75">
      <c r="A32" s="31"/>
    </row>
    <row r="33" ht="12.75">
      <c r="A33" s="31"/>
    </row>
    <row r="34" ht="12.75">
      <c r="A34" s="31"/>
    </row>
    <row r="35" ht="12.75">
      <c r="A35" s="31"/>
    </row>
    <row r="36" ht="12.75">
      <c r="A36" s="31"/>
    </row>
    <row r="37" ht="12.75">
      <c r="A37" s="31"/>
    </row>
    <row r="38" ht="12.75">
      <c r="A38" s="31"/>
    </row>
    <row r="39" ht="12.75">
      <c r="A39" s="31"/>
    </row>
    <row r="40" ht="12.75">
      <c r="A40" s="31"/>
    </row>
    <row r="41" ht="12.75">
      <c r="A41" s="31"/>
    </row>
    <row r="42" ht="12.75">
      <c r="A42" s="31"/>
    </row>
    <row r="43" ht="12.75">
      <c r="A43" s="31"/>
    </row>
    <row r="44" ht="12.75">
      <c r="A44" s="31"/>
    </row>
    <row r="45" ht="12.75">
      <c r="A45" s="31"/>
    </row>
    <row r="46" ht="12.75">
      <c r="A46" s="31"/>
    </row>
    <row r="47" ht="12.75">
      <c r="A47" s="31"/>
    </row>
    <row r="48" ht="12.75">
      <c r="A48" s="31"/>
    </row>
    <row r="49" ht="12.75">
      <c r="A49" s="31"/>
    </row>
    <row r="50" ht="12.75">
      <c r="A50" s="31"/>
    </row>
    <row r="51" ht="12.75">
      <c r="A51" s="31"/>
    </row>
    <row r="52" ht="12.75">
      <c r="A52" s="31"/>
    </row>
    <row r="53" ht="12.75">
      <c r="A53" s="31"/>
    </row>
    <row r="54" ht="12.75">
      <c r="A54" s="31"/>
    </row>
    <row r="55" ht="12.75">
      <c r="A55" s="31"/>
    </row>
    <row r="56" ht="12.75">
      <c r="A56" s="31"/>
    </row>
    <row r="57" ht="12.75">
      <c r="A57" s="31"/>
    </row>
  </sheetData>
  <sheetProtection/>
  <mergeCells count="58">
    <mergeCell ref="B4:D4"/>
    <mergeCell ref="E4:F4"/>
    <mergeCell ref="G4:H4"/>
    <mergeCell ref="I4:N4"/>
    <mergeCell ref="B15:D15"/>
    <mergeCell ref="E15:F15"/>
    <mergeCell ref="G15:H15"/>
    <mergeCell ref="I15:N15"/>
    <mergeCell ref="B9:D9"/>
    <mergeCell ref="E9:F9"/>
    <mergeCell ref="G9:H9"/>
    <mergeCell ref="I9:N9"/>
    <mergeCell ref="I2:N2"/>
    <mergeCell ref="B1:P1"/>
    <mergeCell ref="B10:D10"/>
    <mergeCell ref="E10:F10"/>
    <mergeCell ref="G10:H10"/>
    <mergeCell ref="I10:N10"/>
    <mergeCell ref="B8:D8"/>
    <mergeCell ref="E8:F8"/>
    <mergeCell ref="G8:H8"/>
    <mergeCell ref="I8:N8"/>
    <mergeCell ref="A1:A2"/>
    <mergeCell ref="B2:D2"/>
    <mergeCell ref="E2:F2"/>
    <mergeCell ref="G2:H2"/>
    <mergeCell ref="B3:D3"/>
    <mergeCell ref="E3:F3"/>
    <mergeCell ref="G3:H3"/>
    <mergeCell ref="I3:N3"/>
    <mergeCell ref="B5:D5"/>
    <mergeCell ref="E5:F5"/>
    <mergeCell ref="G5:H5"/>
    <mergeCell ref="I5:N5"/>
    <mergeCell ref="B6:D6"/>
    <mergeCell ref="E6:F6"/>
    <mergeCell ref="G6:H6"/>
    <mergeCell ref="I6:N6"/>
    <mergeCell ref="B7:D7"/>
    <mergeCell ref="E7:F7"/>
    <mergeCell ref="G7:H7"/>
    <mergeCell ref="I7:N7"/>
    <mergeCell ref="B12:D12"/>
    <mergeCell ref="E12:F12"/>
    <mergeCell ref="G12:H12"/>
    <mergeCell ref="I12:N12"/>
    <mergeCell ref="B13:D13"/>
    <mergeCell ref="E13:F13"/>
    <mergeCell ref="G13:H13"/>
    <mergeCell ref="I13:N13"/>
    <mergeCell ref="B11:D11"/>
    <mergeCell ref="E11:F11"/>
    <mergeCell ref="G11:H11"/>
    <mergeCell ref="I11:N11"/>
    <mergeCell ref="B14:D14"/>
    <mergeCell ref="E14:F14"/>
    <mergeCell ref="G14:H14"/>
    <mergeCell ref="I14:N14"/>
  </mergeCells>
  <conditionalFormatting sqref="G12:H13 G15:H15">
    <cfRule type="cellIs" priority="1" dxfId="0" operator="equal" stopIfTrue="1">
      <formula>""</formula>
    </cfRule>
  </conditionalFormatting>
  <dataValidations count="8">
    <dataValidation type="list" allowBlank="1" showInputMessage="1" showErrorMessage="1" sqref="G3:H3">
      <formula1>$Q$3:$R$3</formula1>
    </dataValidation>
    <dataValidation type="list" allowBlank="1" showInputMessage="1" showErrorMessage="1" sqref="G8:H8">
      <formula1>$Q$8:$R$8</formula1>
    </dataValidation>
    <dataValidation type="list" allowBlank="1" showInputMessage="1" showErrorMessage="1" sqref="G10:H10">
      <formula1>$Q$10:$R$10</formula1>
    </dataValidation>
    <dataValidation type="list" allowBlank="1" showInputMessage="1" showErrorMessage="1" sqref="G11:H11">
      <formula1>$Q$11:$R$11</formula1>
    </dataValidation>
    <dataValidation type="list" allowBlank="1" showInputMessage="1" showErrorMessage="1" sqref="G14:H14">
      <formula1>$Q$14:$S$14</formula1>
    </dataValidation>
    <dataValidation type="list" allowBlank="1" showInputMessage="1" showErrorMessage="1" sqref="G4:H4">
      <formula1>$Q$4:$R$4</formula1>
    </dataValidation>
    <dataValidation type="list" allowBlank="1" showInputMessage="1" showErrorMessage="1" sqref="G6:H6">
      <formula1>IF($W$7="0039",$Q$6:$Z$6,$Q$7:$V$7)</formula1>
    </dataValidation>
    <dataValidation type="list" allowBlank="1" showInputMessage="1" showErrorMessage="1" sqref="G15:H15">
      <formula1>$Q$15:$U$15</formula1>
    </dataValidation>
  </dataValidations>
  <hyperlinks>
    <hyperlink ref="G12" r:id="rId1" display="http://mms.movistar.com.ve:8088/mms"/>
  </hyperlinks>
  <printOptions/>
  <pageMargins left="0.75" right="0.75" top="1" bottom="1" header="0.5" footer="0.5"/>
  <pageSetup fitToHeight="23" fitToWidth="1" horizontalDpi="600" verticalDpi="600" orientation="portrait" scale="70" r:id="rId2"/>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AD61"/>
  <sheetViews>
    <sheetView showGridLines="0" zoomScale="75" zoomScaleNormal="75" zoomScaleSheetLayoutView="100" workbookViewId="0" topLeftCell="A1">
      <pane ySplit="1" topLeftCell="BM2" activePane="bottomLeft" state="frozen"/>
      <selection pane="topLeft" activeCell="I16" sqref="I16:N16"/>
      <selection pane="bottomLeft" activeCell="B2" sqref="B2:D2"/>
    </sheetView>
  </sheetViews>
  <sheetFormatPr defaultColWidth="9.140625" defaultRowHeight="12.75"/>
  <cols>
    <col min="4" max="4" width="9.57421875" style="0" customWidth="1"/>
    <col min="8" max="8" width="14.00390625" style="0" customWidth="1"/>
    <col min="15" max="15" width="59.57421875" style="0" customWidth="1"/>
    <col min="16" max="16" width="48.8515625" style="0" hidden="1" customWidth="1"/>
    <col min="17" max="30" width="9.140625" style="0" hidden="1" customWidth="1"/>
  </cols>
  <sheetData>
    <row r="1" spans="1:16" ht="18.75" thickTop="1">
      <c r="A1" s="337" t="s">
        <v>697</v>
      </c>
      <c r="B1" s="316" t="s">
        <v>320</v>
      </c>
      <c r="C1" s="317"/>
      <c r="D1" s="317"/>
      <c r="E1" s="317"/>
      <c r="F1" s="317"/>
      <c r="G1" s="317"/>
      <c r="H1" s="317"/>
      <c r="I1" s="317"/>
      <c r="J1" s="317"/>
      <c r="K1" s="317"/>
      <c r="L1" s="317"/>
      <c r="M1" s="317"/>
      <c r="N1" s="317"/>
      <c r="O1" s="318"/>
      <c r="P1" s="319"/>
    </row>
    <row r="2" spans="1:22" ht="13.5" customHeight="1">
      <c r="A2" s="337"/>
      <c r="B2" s="321" t="s">
        <v>314</v>
      </c>
      <c r="C2" s="321"/>
      <c r="D2" s="321"/>
      <c r="E2" s="321" t="s">
        <v>315</v>
      </c>
      <c r="F2" s="321"/>
      <c r="G2" s="321" t="s">
        <v>316</v>
      </c>
      <c r="H2" s="321"/>
      <c r="I2" s="321" t="s">
        <v>317</v>
      </c>
      <c r="J2" s="321"/>
      <c r="K2" s="321"/>
      <c r="L2" s="321"/>
      <c r="M2" s="321"/>
      <c r="N2" s="321"/>
      <c r="O2" s="63" t="s">
        <v>1333</v>
      </c>
      <c r="P2" s="63" t="s">
        <v>673</v>
      </c>
      <c r="V2">
        <f>IF(G3="On",CONCATENATE("FLEX_SUBSIDY_LOCK_GSM_PRIMARY_FACTORY_LOCK_TYPE - 0x08"),"")</f>
      </c>
    </row>
    <row r="3" spans="1:30" ht="97.5" customHeight="1">
      <c r="A3" s="1">
        <v>5</v>
      </c>
      <c r="B3" s="295" t="s">
        <v>1359</v>
      </c>
      <c r="C3" s="296"/>
      <c r="D3" s="296"/>
      <c r="E3" s="308" t="s">
        <v>689</v>
      </c>
      <c r="F3" s="308"/>
      <c r="G3" s="308" t="s">
        <v>1325</v>
      </c>
      <c r="H3" s="308"/>
      <c r="I3" s="312" t="s">
        <v>118</v>
      </c>
      <c r="J3" s="270"/>
      <c r="K3" s="270"/>
      <c r="L3" s="270"/>
      <c r="M3" s="270"/>
      <c r="N3" s="270"/>
      <c r="O3" s="70" t="s">
        <v>1428</v>
      </c>
      <c r="P3" s="91" t="s">
        <v>292</v>
      </c>
      <c r="R3" t="s">
        <v>1362</v>
      </c>
      <c r="S3" t="s">
        <v>1363</v>
      </c>
      <c r="T3" t="s">
        <v>1326</v>
      </c>
      <c r="U3" t="s">
        <v>1327</v>
      </c>
      <c r="V3" t="s">
        <v>1328</v>
      </c>
      <c r="W3" t="s">
        <v>1329</v>
      </c>
      <c r="X3" t="s">
        <v>1330</v>
      </c>
      <c r="Y3" t="s">
        <v>1331</v>
      </c>
      <c r="Z3" t="s">
        <v>1325</v>
      </c>
      <c r="AA3" t="s">
        <v>1332</v>
      </c>
      <c r="AB3" t="s">
        <v>391</v>
      </c>
      <c r="AC3" t="s">
        <v>392</v>
      </c>
      <c r="AD3" t="s">
        <v>393</v>
      </c>
    </row>
    <row r="4" spans="1:22" ht="65.25" customHeight="1">
      <c r="A4" s="1">
        <f>A3+0.01</f>
        <v>5.01</v>
      </c>
      <c r="B4" s="295" t="s">
        <v>413</v>
      </c>
      <c r="C4" s="296"/>
      <c r="D4" s="296"/>
      <c r="E4" s="308">
        <v>3</v>
      </c>
      <c r="F4" s="308"/>
      <c r="G4" s="308">
        <v>3</v>
      </c>
      <c r="H4" s="308"/>
      <c r="I4" s="270" t="s">
        <v>132</v>
      </c>
      <c r="J4" s="270"/>
      <c r="K4" s="270"/>
      <c r="L4" s="270"/>
      <c r="M4" s="270"/>
      <c r="N4" s="270"/>
      <c r="O4" s="70" t="s">
        <v>1036</v>
      </c>
      <c r="P4" s="90" t="s">
        <v>197</v>
      </c>
      <c r="V4" t="str">
        <f>CONCATENATE(P4," - ",G4)</f>
        <v>FLEX_SUBSIDY_LOCK_GSM_FACTORY_MAX_RETRY - 3</v>
      </c>
    </row>
    <row r="5" spans="1:22" ht="50.25" customHeight="1">
      <c r="A5" s="1">
        <f>A4+0.01</f>
        <v>5.02</v>
      </c>
      <c r="B5" s="295" t="s">
        <v>414</v>
      </c>
      <c r="C5" s="296"/>
      <c r="D5" s="296"/>
      <c r="E5" s="308">
        <v>2</v>
      </c>
      <c r="F5" s="308"/>
      <c r="G5" s="308">
        <v>120</v>
      </c>
      <c r="H5" s="308"/>
      <c r="I5" s="270" t="s">
        <v>1215</v>
      </c>
      <c r="J5" s="270"/>
      <c r="K5" s="270"/>
      <c r="L5" s="270"/>
      <c r="M5" s="270"/>
      <c r="N5" s="270"/>
      <c r="O5" s="70" t="s">
        <v>1037</v>
      </c>
      <c r="P5" s="90" t="s">
        <v>1563</v>
      </c>
      <c r="V5" t="str">
        <f>CONCATENATE(P5," - ",G5)</f>
        <v>FLEX_SUBSIDY_LOCK_GSM_PENALTY_LIMIT - 120</v>
      </c>
    </row>
    <row r="6" spans="15:22" ht="13.5" thickBot="1">
      <c r="O6" s="77"/>
      <c r="V6" t="str">
        <f>IF(I8&lt;&gt;"",CONCATENATE("HPLMN1: ",I8),"")</f>
        <v>HPLMN1: 732-123</v>
      </c>
    </row>
    <row r="7" spans="1:24" ht="13.5" customHeight="1" thickBot="1">
      <c r="A7" s="34"/>
      <c r="B7" s="340" t="s">
        <v>97</v>
      </c>
      <c r="C7" s="341"/>
      <c r="D7" s="341"/>
      <c r="E7" s="35"/>
      <c r="I7" s="327" t="s">
        <v>98</v>
      </c>
      <c r="J7" s="328"/>
      <c r="K7" s="328"/>
      <c r="L7" s="328"/>
      <c r="M7" s="328"/>
      <c r="N7" s="328"/>
      <c r="O7" s="342" t="s">
        <v>567</v>
      </c>
      <c r="P7" s="36"/>
      <c r="Q7" s="36"/>
      <c r="R7" s="36"/>
      <c r="S7" s="36"/>
      <c r="T7" s="36"/>
      <c r="U7" s="36"/>
      <c r="V7" t="str">
        <f>IF(I9&lt;&gt;"",CONCATENATE("HPLMN2: ",I9),"")</f>
        <v>HPLMN2: 704-03</v>
      </c>
      <c r="W7" s="36" t="str">
        <f>IF(I8="","FFFFFF",IF(LEN(I8)=6,CONCATENATE(MID(I8,2,1),MID(I8,1,1),"F",MID(I8,3,1),MID(I8,6,1),MID(I8,5,1)),CONCATENATE(MID(I8,2,1),MID(I8,1,1),MID(I8,7,1),MID(I8,3,1),MID(I8,6,1),MID(I8,5,1))))</f>
        <v>373221</v>
      </c>
      <c r="X7" s="36" t="str">
        <f>IF(I8="","0xFF,0xFF,0xFF",IF(LEN(I8)=6,CONCATENATE("0x",MID(I8,2,1),MID(I8,1,1),".0xF",MID(I8,3,1),",0x",MID(I8,6,1),MID(I8,5,1)),CONCATENATE("0x",MID(I8,2,1),MID(I8,1,1),",0x",MID(I8,7,1),MID(I8,3,1),",0x",MID(I8,6,1),MID(I8,5,1))))</f>
        <v>0x37,0x32,0x21</v>
      </c>
    </row>
    <row r="8" spans="2:24" ht="12.75">
      <c r="B8" s="15"/>
      <c r="C8" s="15"/>
      <c r="D8" s="15"/>
      <c r="E8" s="15"/>
      <c r="I8" s="227" t="s">
        <v>429</v>
      </c>
      <c r="J8" s="37" t="s">
        <v>434</v>
      </c>
      <c r="K8" s="227" t="s">
        <v>439</v>
      </c>
      <c r="L8" s="37"/>
      <c r="M8" s="37"/>
      <c r="N8" s="86"/>
      <c r="O8" s="343"/>
      <c r="P8" s="15"/>
      <c r="Q8" s="15"/>
      <c r="R8" s="15"/>
      <c r="S8" s="15"/>
      <c r="T8" s="15"/>
      <c r="U8" s="15"/>
      <c r="V8" t="str">
        <f>IF(I10&lt;&gt;"",CONCATENATE("HPLMN3: ",I10),"")</f>
        <v>HPLMN3: 748-07</v>
      </c>
      <c r="W8" s="36" t="str">
        <f>IF(I9="","FFFFFF",IF(LEN(I9)=6,CONCATENATE(MID(I9,2,1),MID(I9,1,1),"F",MID(I9,3,1),MID(I9,6,1),MID(I9,5,1)),CONCATENATE(MID(I9,2,1),MID(I9,1,1),MID(I9,7,1),MID(I9,3,1),MID(I9,6,1),MID(I9,5,1))))</f>
        <v>07F430</v>
      </c>
      <c r="X8" s="36" t="str">
        <f>IF(I9="","0xFF,0xFF,0xFF",IF(LEN(I9)=6,CONCATENATE("0x",MID(I9,2,1),MID(I9,1,1),".0xF",MID(I9,3,1),",0x",MID(I9,6,1),MID(I9,5,1)),CONCATENATE("0x",MID(I9,2,1),MID(I9,1,1),",0x",MID(I9,7,1),MID(I9,3,1),",0x",MID(I9,6,1),MID(I9,5,1))))</f>
        <v>0x07.0xF4,0x30</v>
      </c>
    </row>
    <row r="9" spans="2:24" ht="12.75">
      <c r="B9" s="15"/>
      <c r="C9" s="15"/>
      <c r="D9" s="15"/>
      <c r="E9" s="15"/>
      <c r="I9" s="37" t="s">
        <v>430</v>
      </c>
      <c r="J9" s="227" t="s">
        <v>435</v>
      </c>
      <c r="K9" s="37" t="s">
        <v>440</v>
      </c>
      <c r="L9" s="37"/>
      <c r="M9" s="37"/>
      <c r="N9" s="86"/>
      <c r="O9" s="343"/>
      <c r="P9" s="15"/>
      <c r="Q9" s="15"/>
      <c r="R9" s="15"/>
      <c r="S9" s="15"/>
      <c r="T9" s="15"/>
      <c r="U9" s="15"/>
      <c r="V9" t="str">
        <f>IF(I11&lt;&gt;"",CONCATENATE("HPLMN4: ",I11),"")</f>
        <v>HPLMN4: 740-00</v>
      </c>
      <c r="W9" s="36" t="str">
        <f>IF(I10="","FFFFFF",IF(LEN(I10)=6,CONCATENATE(MID(I10,2,1),MID(I10,1,1),"F",MID(I10,3,1),MID(I10,6,1),MID(I10,5,1)),CONCATENATE(MID(I10,2,1),MID(I10,1,1),MID(I10,7,1),MID(I10,3,1),MID(I10,6,1),MID(I10,5,1))))</f>
        <v>47F870</v>
      </c>
      <c r="X9" s="36" t="str">
        <f>IF(I10="","0xFF,0xFF,0xFF",IF(LEN(I10)=6,CONCATENATE("0x",MID(I10,2,1),MID(I10,1,1),".0xF",MID(I10,3,1),",0x",MID(I10,6,1),MID(I10,5,1)),CONCATENATE("0x",MID(I10,2,1),MID(I10,1,1),",0x",MID(I10,7,1),MID(I10,3,1),",0x",MID(I10,6,1),MID(I10,5,1))))</f>
        <v>0x47.0xF8,0x70</v>
      </c>
    </row>
    <row r="10" spans="2:24" ht="12.75">
      <c r="B10" s="15"/>
      <c r="C10" s="15"/>
      <c r="D10" s="15"/>
      <c r="E10" s="15"/>
      <c r="I10" s="37" t="s">
        <v>431</v>
      </c>
      <c r="J10" s="37" t="s">
        <v>436</v>
      </c>
      <c r="K10" s="139" t="s">
        <v>441</v>
      </c>
      <c r="L10" s="37"/>
      <c r="M10" s="37"/>
      <c r="N10" s="86"/>
      <c r="O10" s="343"/>
      <c r="P10" s="15"/>
      <c r="Q10" s="15"/>
      <c r="R10" s="15"/>
      <c r="S10" s="15"/>
      <c r="T10" s="15"/>
      <c r="U10" s="15"/>
      <c r="V10" t="str">
        <f>IF(I12&lt;&gt;"",CONCATENATE("HPLMN5: ",I12),"")</f>
        <v>HPLMN5: 706-04</v>
      </c>
      <c r="W10" s="36" t="str">
        <f>IF(I11="","FFFFFF",IF(LEN(I11)=6,CONCATENATE(MID(I11,2,1),MID(I11,1,1),"F",MID(I11,3,1),MID(I11,6,1),MID(I11,5,1)),CONCATENATE(MID(I11,2,1),MID(I11,1,1),MID(I11,7,1),MID(I11,3,1),MID(I11,6,1),MID(I11,5,1))))</f>
        <v>47F000</v>
      </c>
      <c r="X10" s="36" t="str">
        <f>IF(I11="","0xFF,0xFF,0xFF",IF(LEN(I11)=6,CONCATENATE("0x",MID(I11,2,1),MID(I11,1,1),".0xF",MID(I11,3,1),",0x",MID(I11,6,1),MID(I11,5,1)),CONCATENATE("0x",MID(I11,2,1),MID(I11,1,1),",0x",MID(I11,7,1),MID(I11,3,1),",0x",MID(I11,6,1),MID(I11,5,1))))</f>
        <v>0x47.0xF0,0x00</v>
      </c>
    </row>
    <row r="11" spans="2:24" ht="12.75">
      <c r="B11" s="15"/>
      <c r="C11" s="15"/>
      <c r="D11" s="15"/>
      <c r="E11" s="15"/>
      <c r="I11" s="227" t="s">
        <v>432</v>
      </c>
      <c r="J11" s="37" t="s">
        <v>437</v>
      </c>
      <c r="K11" s="227"/>
      <c r="L11" s="37"/>
      <c r="M11" s="37"/>
      <c r="N11" s="86"/>
      <c r="O11" s="343"/>
      <c r="P11" s="15"/>
      <c r="Q11" s="15"/>
      <c r="R11" s="15"/>
      <c r="S11" s="15"/>
      <c r="T11" s="15"/>
      <c r="U11" s="15"/>
      <c r="V11" t="str">
        <f>IF(J8&lt;&gt;"",CONCATENATE("HPLMN6: ",J8),"")</f>
        <v>HPLMN6: 722-07</v>
      </c>
      <c r="W11" s="36" t="str">
        <f>IF(I12="","FFFFFF",IF(LEN(I12)=6,CONCATENATE(MID(I12,2,1),MID(I12,1,1),"F",MID(I12,3,1),MID(I12,6,1),MID(I12,5,1)),CONCATENATE(MID(I12,2,1),MID(I12,1,1),MID(I12,7,1),MID(I12,3,1),MID(I12,6,1),MID(I12,5,1))))</f>
        <v>07F640</v>
      </c>
      <c r="X11" s="36" t="str">
        <f>IF(I12="","0xFF,0xFF,0xFF",IF(LEN(I12)=6,CONCATENATE("0x",MID(I12,2,1),MID(I12,1,1),".0xF",MID(I12,3,1),",0x",MID(I12,6,1),MID(I12,5,1)),CONCATENATE("0x",MID(I12,2,1),MID(I12,1,1),",0x",MID(I12,7,1),MID(I12,3,1),",0x",MID(I12,6,1),MID(I12,5,1))))</f>
        <v>0x07.0xF6,0x40</v>
      </c>
    </row>
    <row r="12" spans="2:24" ht="12.75">
      <c r="B12" s="15"/>
      <c r="C12" s="15"/>
      <c r="D12" s="15"/>
      <c r="E12" s="15"/>
      <c r="I12" s="37" t="s">
        <v>433</v>
      </c>
      <c r="J12" s="227" t="s">
        <v>438</v>
      </c>
      <c r="K12" s="37"/>
      <c r="L12" s="37"/>
      <c r="M12" s="37"/>
      <c r="N12" s="86"/>
      <c r="O12" s="343"/>
      <c r="P12" s="15"/>
      <c r="Q12" s="15"/>
      <c r="R12" s="15"/>
      <c r="S12" s="15"/>
      <c r="T12" s="15"/>
      <c r="U12" s="15"/>
      <c r="V12" t="str">
        <f>IF(J9&lt;&gt;"",CONCATENATE("HPLMN7: ",J9),"")</f>
        <v>HPLMN7: 734-04</v>
      </c>
      <c r="W12" t="str">
        <f>IF(J8="","FFFFFF",IF(LEN(J8)=6,CONCATENATE(MID(J8,2,1),MID(J8,1,1),"F",MID(J8,3,1),MID(J8,6,1),MID(J8,5,1)),CONCATENATE(MID(J8,2,1),MID(J8,1,1),MID(J8,7,1),MID(J8,3,1),MID(J8,6,1),MID(J8,5,1))))</f>
        <v>27F270</v>
      </c>
      <c r="X12" s="36" t="str">
        <f>IF(J8="","0xFF,0xFF,0xFF",IF(LEN(J8)=6,CONCATENATE("0x",MID(J8,2,1),MID(J8,1,1),".0xF",MID(J8,3,1),",0x",MID(J8,6,1),MID(J8,5,1)),CONCATENATE("0x",MID(J8,2,1),MID(J8,1,1),",0x",MID(J8,7,1),MID(J8,3,1),",0x",MID(J8,6,1),MID(J8,5,1))))</f>
        <v>0x27.0xF2,0x70</v>
      </c>
    </row>
    <row r="13" spans="9:24" ht="13.5" thickBot="1">
      <c r="I13" s="96"/>
      <c r="O13" s="343"/>
      <c r="V13" t="str">
        <f>IF(J10&lt;&gt;"",CONCATENATE("HPLMN8: ",J10),"")</f>
        <v>HPLMN8: 710-30</v>
      </c>
      <c r="W13" t="str">
        <f>IF(J9="","FFFFFF",IF(LEN(J9)=6,CONCATENATE(MID(J9,2,1),MID(J9,1,1),"F",MID(J9,3,1),MID(J9,6,1),MID(J9,5,1)),CONCATENATE(MID(J9,2,1),MID(J9,1,1),MID(J9,7,1),MID(J9,3,1),MID(J9,6,1),MID(J9,5,1))))</f>
        <v>37F440</v>
      </c>
      <c r="X13" s="36" t="str">
        <f>IF(J9="","0xFF,0xFF,0xFF",IF(LEN(J9)=6,CONCATENATE("0x",MID(J9,2,1),MID(J9,1,1),".0xF",MID(J9,3,1),",0x",MID(J9,6,1),MID(J9,5,1)),CONCATENATE("0x",MID(J9,2,1),MID(J9,1,1),",0x",MID(J9,7,1),MID(J9,3,1),",0x",MID(J9,6,1),MID(J9,5,1))))</f>
        <v>0x37.0xF4,0x40</v>
      </c>
    </row>
    <row r="14" spans="1:24" ht="13.5" thickBot="1">
      <c r="A14" s="38"/>
      <c r="B14" s="338" t="s">
        <v>99</v>
      </c>
      <c r="C14" s="339"/>
      <c r="D14" s="339"/>
      <c r="E14" s="35"/>
      <c r="I14" s="327" t="s">
        <v>98</v>
      </c>
      <c r="J14" s="328"/>
      <c r="K14" s="328"/>
      <c r="L14" s="328"/>
      <c r="M14" s="328"/>
      <c r="N14" s="328"/>
      <c r="O14" s="343"/>
      <c r="P14" s="40"/>
      <c r="Q14" s="40"/>
      <c r="R14" s="40"/>
      <c r="S14" s="40"/>
      <c r="T14" s="40"/>
      <c r="U14" s="40"/>
      <c r="V14" t="str">
        <f>IF(J11&lt;&gt;"",CONCATENATE("HPLMN9: ",J11),"")</f>
        <v>HPLMN9: 716-06</v>
      </c>
      <c r="W14" t="str">
        <f>IF(J10="","FFFFFF",IF(LEN(J10)=6,CONCATENATE(MID(J10,2,1),MID(J10,1,1),"F",MID(J10,3,1),MID(J10,6,1),MID(J10,5,1)),CONCATENATE(MID(J10,2,1),MID(J10,1,1),MID(J10,7,1),MID(J10,3,1),MID(J10,6,1),MID(J10,5,1))))</f>
        <v>17F003</v>
      </c>
      <c r="X14" s="36" t="str">
        <f>IF(J10="","0xFF,0xFF,0xFF",IF(LEN(J10)=6,CONCATENATE("0x",MID(J10,2,1),MID(J10,1,1),".0xF",MID(J10,3,1),",0x",MID(J10,6,1),MID(J10,5,1)),CONCATENATE("0x",MID(J10,2,1),MID(J10,1,1),",0x",MID(J10,7,1),MID(J10,3,1),",0x",MID(J10,6,1),MID(J10,5,1))))</f>
        <v>0x17.0xF0,0x03</v>
      </c>
    </row>
    <row r="15" spans="2:24" ht="12.75">
      <c r="B15" s="15"/>
      <c r="C15" s="15"/>
      <c r="D15" s="15"/>
      <c r="E15" s="15"/>
      <c r="I15" s="227"/>
      <c r="J15" s="37"/>
      <c r="K15" s="37"/>
      <c r="L15" s="37"/>
      <c r="M15" s="37"/>
      <c r="N15" s="86"/>
      <c r="O15" s="343"/>
      <c r="P15" s="15"/>
      <c r="Q15" s="15"/>
      <c r="R15" s="15"/>
      <c r="S15" s="15"/>
      <c r="T15" s="15"/>
      <c r="U15" s="15"/>
      <c r="V15" t="str">
        <f>IF(J12&lt;&gt;"",CONCATENATE("HPLMN10: ",J12),"")</f>
        <v>HPLMN10: 214-07</v>
      </c>
      <c r="W15" t="str">
        <f>IF(J11="","FFFFFF",IF(LEN(J11)=6,CONCATENATE(MID(J11,2,1),MID(J11,1,1),"F",MID(J11,3,1),MID(J11,6,1),MID(J11,5,1)),CONCATENATE(MID(J11,2,1),MID(J11,1,1),MID(J11,7,1),MID(J11,3,1),MID(J11,6,1),MID(J11,5,1))))</f>
        <v>17F660</v>
      </c>
      <c r="X15" s="36" t="str">
        <f>IF(J11="","0xFF,0xFF,0xFF",IF(LEN(J11)=6,CONCATENATE("0x",MID(J11,2,1),MID(J11,1,1),".0xF",MID(J11,3,1),",0x",MID(J11,6,1),MID(J11,5,1)),CONCATENATE("0x",MID(J11,2,1),MID(J11,1,1),",0x",MID(J11,7,1),MID(J11,3,1),",0x",MID(J11,6,1),MID(J11,5,1))))</f>
        <v>0x17.0xF6,0x60</v>
      </c>
    </row>
    <row r="16" spans="2:24" ht="12.75">
      <c r="B16" s="15"/>
      <c r="C16" s="15"/>
      <c r="D16" s="15"/>
      <c r="E16" s="15"/>
      <c r="I16" s="227"/>
      <c r="J16" s="37"/>
      <c r="K16" s="37"/>
      <c r="L16" s="37"/>
      <c r="M16" s="37"/>
      <c r="N16" s="86"/>
      <c r="O16" s="343"/>
      <c r="P16" s="15"/>
      <c r="Q16" s="15"/>
      <c r="R16" s="15"/>
      <c r="S16" s="15"/>
      <c r="T16" s="15"/>
      <c r="U16" s="15"/>
      <c r="V16" t="str">
        <f>IF(K8&lt;&gt;"",CONCATENATE("HPLMN11: ",K8),"")</f>
        <v>HPLMN11: 714-02</v>
      </c>
      <c r="W16" t="str">
        <f>IF(J12="","FFFFFF",IF(LEN(J12)=6,CONCATENATE(MID(J12,2,1),MID(J12,1,1),"F",MID(J12,3,1),MID(J12,6,1),MID(J12,5,1)),CONCATENATE(MID(J12,2,1),MID(J12,1,1),MID(J12,7,1),MID(J12,3,1),MID(J12,6,1),MID(J12,5,1))))</f>
        <v>12F470</v>
      </c>
      <c r="X16" s="36" t="str">
        <f>IF(J12="","0xFF,0xFF,0xFF",IF(LEN(J12)=6,CONCATENATE("0x",MID(J12,2,1),MID(J12,1,1),".0xF",MID(J12,3,1),",0x",MID(J12,6,1),MID(J12,5,1)),CONCATENATE("0x",MID(J12,2,1),MID(J12,1,1),",0x",MID(J12,7,1),MID(J12,3,1),",0x",MID(J12,6,1),MID(J12,5,1))))</f>
        <v>0x12.0xF4,0x70</v>
      </c>
    </row>
    <row r="17" spans="2:24" ht="12.75">
      <c r="B17" s="15"/>
      <c r="C17" s="15"/>
      <c r="D17" s="15"/>
      <c r="E17" s="15"/>
      <c r="I17" s="227"/>
      <c r="J17" s="37"/>
      <c r="K17" s="37"/>
      <c r="L17" s="37"/>
      <c r="M17" s="37"/>
      <c r="N17" s="86"/>
      <c r="O17" s="343"/>
      <c r="P17" s="15"/>
      <c r="Q17" s="15"/>
      <c r="R17" s="15"/>
      <c r="S17" s="15"/>
      <c r="T17" s="15"/>
      <c r="U17" s="15"/>
      <c r="V17" t="str">
        <f>IF(K9&lt;&gt;"",CONCATENATE("HPLMN12: ",K9),"")</f>
        <v>HPLMN12: 334-03</v>
      </c>
      <c r="W17" t="str">
        <f>IF(K8="","FFFFFF",IF(LEN(K8)=6,CONCATENATE(MID(K8,2,1),MID(K8,1,1),"F",MID(K8,3,1),MID(K8,6,1),MID(K8,5,1)),CONCATENATE(MID(K8,2,1),MID(K8,1,1),MID(K8,7,1),MID(K8,3,1),MID(K8,6,1),MID(K8,5,1))))</f>
        <v>17F420</v>
      </c>
      <c r="X17" s="36" t="str">
        <f>IF(K8="","0xFF,0xFF,0xFF",IF(LEN(K8)=6,CONCATENATE("0x",MID(K8,2,1),MID(K8,1,1),".0xF",MID(K8,3,1),",0x",MID(K8,6,1),MID(K8,5,1)),CONCATENATE("0x",MID(K8,2,1),MID(K8,1,1),",0x",MID(K8,7,1),MID(K8,3,1),",0x",MID(K8,6,1),MID(K8,5,1))))</f>
        <v>0x17.0xF4,0x20</v>
      </c>
    </row>
    <row r="18" spans="2:24" ht="12.75">
      <c r="B18" s="332" t="s">
        <v>100</v>
      </c>
      <c r="C18" s="332"/>
      <c r="D18" s="332"/>
      <c r="E18" s="41"/>
      <c r="F18" s="4"/>
      <c r="G18" s="4"/>
      <c r="H18" s="32"/>
      <c r="I18" s="227"/>
      <c r="J18" s="227"/>
      <c r="K18" s="227"/>
      <c r="L18" s="37"/>
      <c r="M18" s="37"/>
      <c r="N18" s="86"/>
      <c r="O18" s="343"/>
      <c r="P18" s="15"/>
      <c r="Q18" s="15"/>
      <c r="R18" s="15"/>
      <c r="S18" s="15"/>
      <c r="T18" s="15"/>
      <c r="U18" s="15"/>
      <c r="V18" t="str">
        <f>IF(K10&lt;&gt;"",CONCATENATE("HPLMN13: ",K10),"")</f>
        <v>HPLMN13: 730-02</v>
      </c>
      <c r="W18" t="str">
        <f>IF(K9="","FFFFFF",IF(LEN(K9)=6,CONCATENATE(MID(K9,2,1),MID(K9,1,1),"F",MID(K9,3,1),MID(K9,6,1),MID(K9,5,1)),CONCATENATE(MID(K9,2,1),MID(K9,1,1),MID(K9,7,1),MID(K9,3,1),MID(K9,6,1),MID(K9,5,1))))</f>
        <v>33F430</v>
      </c>
      <c r="X18" s="36" t="str">
        <f>IF(K9="","0xFF,0xFF,0xFF",IF(LEN(K9)=6,CONCATENATE("0x",MID(K9,2,1),MID(K9,1,1),".0xF",MID(K9,3,1),",0x",MID(K9,6,1),MID(K9,5,1)),CONCATENATE("0x",MID(K9,2,1),MID(K9,1,1),",0x",MID(K9,7,1),MID(K9,3,1),",0x",MID(K9,6,1),MID(K9,5,1))))</f>
        <v>0x33.0xF4,0x30</v>
      </c>
    </row>
    <row r="19" spans="2:24" ht="12.75">
      <c r="B19" s="333" t="s">
        <v>101</v>
      </c>
      <c r="C19" s="334"/>
      <c r="D19" s="334"/>
      <c r="E19" s="331"/>
      <c r="F19" s="331"/>
      <c r="G19" s="331"/>
      <c r="H19" s="40"/>
      <c r="I19" s="37"/>
      <c r="J19" s="139"/>
      <c r="K19" s="37"/>
      <c r="L19" s="37"/>
      <c r="M19" s="37"/>
      <c r="N19" s="86"/>
      <c r="O19" s="344"/>
      <c r="P19" s="15"/>
      <c r="Q19" s="15"/>
      <c r="R19" s="15"/>
      <c r="S19" s="15"/>
      <c r="T19" s="15"/>
      <c r="U19" s="15"/>
      <c r="V19">
        <f>IF(K11&lt;&gt;"",CONCATENATE("HPLMN14: ",K11),"")</f>
      </c>
      <c r="W19" t="str">
        <f>IF(K10="","FFFFFF",IF(LEN(K10)=6,CONCATENATE(MID(K10,2,1),MID(K10,1,1),"F",MID(K10,3,1),MID(K10,6,1),MID(K10,5,1)),CONCATENATE(MID(K10,2,1),MID(K10,1,1),MID(K10,7,1),MID(K10,3,1),MID(K10,6,1),MID(K10,5,1))))</f>
        <v>37F020</v>
      </c>
      <c r="X19" s="36" t="str">
        <f>IF(K10="","0xFF,0xFF,0xFF",IF(LEN(K10)=6,CONCATENATE("0x",MID(K10,2,1),MID(K10,1,1),".0xF",MID(K10,3,1),",0x",MID(K10,6,1),MID(K10,5,1)),CONCATENATE("0x",MID(K10,2,1),MID(K10,1,1),",0x",MID(K10,7,1),MID(K10,3,1),",0x",MID(K10,6,1),MID(K10,5,1))))</f>
        <v>0x37.0xF0,0x20</v>
      </c>
    </row>
    <row r="20" spans="2:24" ht="12.75">
      <c r="B20" s="39"/>
      <c r="C20" s="39"/>
      <c r="D20" s="39"/>
      <c r="E20" s="42"/>
      <c r="F20" s="42"/>
      <c r="G20" s="42"/>
      <c r="H20" s="40"/>
      <c r="I20" s="40"/>
      <c r="J20" s="40"/>
      <c r="K20" s="15"/>
      <c r="L20" s="15"/>
      <c r="M20" s="15"/>
      <c r="N20" s="15"/>
      <c r="O20" s="43"/>
      <c r="P20" s="15"/>
      <c r="Q20" s="15"/>
      <c r="R20" s="15"/>
      <c r="S20" s="15"/>
      <c r="T20" s="15"/>
      <c r="U20" s="15"/>
      <c r="V20">
        <f>IF(K12&lt;&gt;"",CONCATENATE("HPLMN15: ",K12),"")</f>
      </c>
      <c r="W20" t="str">
        <f>IF(K11="","FFFFFF",IF(LEN(K11)=6,CONCATENATE(MID(K11,2,1),MID(K11,1,1),"F",MID(K11,3,1),MID(K11,6,1),MID(K11,5,1)),CONCATENATE(MID(K11,2,1),MID(K11,1,1),MID(K11,7,1),MID(K11,3,1),MID(K11,6,1),MID(K11,5,1))))</f>
        <v>FFFFFF</v>
      </c>
      <c r="X20" s="36" t="str">
        <f>IF(K11="","0xFF,0xFF,0xFF",IF(LEN(K11)=6,CONCATENATE("0x",MID(K11,2,1),MID(K11,1,1),".0xF",MID(K11,3,1),",0x",MID(K11,6,1),MID(K11,5,1)),CONCATENATE("0x",MID(K11,2,1),MID(K11,1,1),",0x",MID(K11,7,1),MID(K11,3,1),",0x",MID(K11,6,1),MID(K11,5,1))))</f>
        <v>0xFF,0xFF,0xFF</v>
      </c>
    </row>
    <row r="21" spans="15:24" ht="13.5" thickBot="1">
      <c r="O21" s="80"/>
      <c r="V21">
        <f>IF(L8&lt;&gt;"",CONCATENATE("HPLMN16: ",L8),"")</f>
      </c>
      <c r="W21" t="str">
        <f>IF(K12="","FFFFFF",IF(LEN(K12)=6,CONCATENATE(MID(K12,2,1),MID(K12,1,1),"F",MID(K12,3,1),MID(K12,6,1),MID(K12,5,1)),CONCATENATE(MID(K12,2,1),MID(K12,1,1),MID(K12,7,1),MID(K12,3,1),MID(K12,6,1),MID(K12,5,1))))</f>
        <v>FFFFFF</v>
      </c>
      <c r="X21" s="36" t="str">
        <f>IF(K12="","0xFF,0xFF,0xFF",IF(LEN(K12)=6,CONCATENATE("0x",MID(K12,2,1),MID(K12,1,1),".0xF",MID(K12,3,1),",0x",MID(K12,6,1),MID(K12,5,1)),CONCATENATE("0x",MID(K12,2,1),MID(K12,1,1),",0x",MID(K12,7,1),MID(K12,3,1),",0x",MID(K12,6,1),MID(K12,5,1))))</f>
        <v>0xFF,0xFF,0xFF</v>
      </c>
    </row>
    <row r="22" spans="1:24" ht="13.5" thickBot="1">
      <c r="A22" s="38"/>
      <c r="B22" s="338" t="s">
        <v>102</v>
      </c>
      <c r="C22" s="339"/>
      <c r="D22" s="339"/>
      <c r="E22" s="35"/>
      <c r="I22" s="327" t="s">
        <v>98</v>
      </c>
      <c r="J22" s="328"/>
      <c r="K22" s="328"/>
      <c r="L22" s="328"/>
      <c r="M22" s="328"/>
      <c r="N22" s="329"/>
      <c r="O22" s="82"/>
      <c r="P22" s="40"/>
      <c r="Q22" s="40"/>
      <c r="R22" s="40"/>
      <c r="S22" s="40"/>
      <c r="T22" s="40"/>
      <c r="U22" s="40"/>
      <c r="V22">
        <f>IF(L9&lt;&gt;"",CONCATENATE("HPLMN17: ",L9),"")</f>
      </c>
      <c r="W22" s="222" t="str">
        <f>IF(L8="","FFFFFF",IF(LEN(L8)=6,CONCATENATE(MID(L8,2,1),MID(L8,1,1),"F",MID(L8,3,1),MID(L8,6,1),MID(L8,5,1)),CONCATENATE(MID(L8,2,1),MID(L8,1,1),MID(L8,7,1),MID(L8,3,1),MID(L8,6,1),MID(L8,5,1))))</f>
        <v>FFFFFF</v>
      </c>
      <c r="X22" s="223" t="str">
        <f>IF(L8="","0xFF,0xFF,0xFF",IF(LEN(L8)=6,CONCATENATE("0x",MID(L8,2,1),MID(L8,1,1),".0xF",MID(L8,3,1),",0x",MID(L8,6,1),MID(L8,5,1)),CONCATENATE("0x",MID(L8,2,1),MID(L8,1,1),",0x",MID(L8,7,1),MID(L8,3,1),",0x",MID(L8,6,1),MID(L8,5,1))))</f>
        <v>0xFF,0xFF,0xFF</v>
      </c>
    </row>
    <row r="23" spans="2:24" ht="12.75">
      <c r="B23" s="15"/>
      <c r="C23" s="15"/>
      <c r="D23" s="15"/>
      <c r="E23" s="15"/>
      <c r="I23" s="37"/>
      <c r="J23" s="37"/>
      <c r="K23" s="37"/>
      <c r="L23" s="37"/>
      <c r="M23" s="37"/>
      <c r="N23" s="37"/>
      <c r="O23" s="43"/>
      <c r="P23" s="15"/>
      <c r="Q23" s="15"/>
      <c r="R23" s="15"/>
      <c r="S23" s="15"/>
      <c r="T23" s="15"/>
      <c r="U23" s="15"/>
      <c r="V23">
        <f>IF(L10&lt;&gt;"",CONCATENATE("HPLMN18: ",L10),"")</f>
      </c>
      <c r="W23" s="222" t="str">
        <f>IF(L9="","FFFFFF",IF(LEN(L9)=6,CONCATENATE(MID(L9,2,1),MID(L9,1,1),"F",MID(L9,3,1),MID(L9,6,1),MID(L9,5,1)),CONCATENATE(MID(L9,2,1),MID(L9,1,1),MID(L9,7,1),MID(L9,3,1),MID(L9,6,1),MID(L9,5,1))))</f>
        <v>FFFFFF</v>
      </c>
      <c r="X23" s="223" t="str">
        <f>IF(L9="","0xFF,0xFF,0xFF",IF(LEN(L9)=6,CONCATENATE("0x",MID(L9,2,1),MID(L9,1,1),".0xF",MID(L9,3,1),",0x",MID(L9,6,1),MID(L9,5,1)),CONCATENATE("0x",MID(L9,2,1),MID(L9,1,1),",0x",MID(L9,7,1),MID(L9,3,1),",0x",MID(L9,6,1),MID(L9,5,1))))</f>
        <v>0xFF,0xFF,0xFF</v>
      </c>
    </row>
    <row r="24" spans="2:24" ht="12.75">
      <c r="B24" s="332" t="s">
        <v>103</v>
      </c>
      <c r="C24" s="332"/>
      <c r="D24" s="332"/>
      <c r="E24" s="41"/>
      <c r="F24" s="4"/>
      <c r="G24" s="4"/>
      <c r="I24" s="37"/>
      <c r="J24" s="37"/>
      <c r="K24" s="37"/>
      <c r="L24" s="37"/>
      <c r="M24" s="37"/>
      <c r="N24" s="37"/>
      <c r="O24" s="43"/>
      <c r="P24" s="15"/>
      <c r="Q24" s="15"/>
      <c r="R24" s="15"/>
      <c r="S24" s="15"/>
      <c r="T24" s="15"/>
      <c r="U24" s="15"/>
      <c r="V24">
        <f>IF(L11&lt;&gt;"",CONCATENATE("HPLMN19: ",L11),"")</f>
      </c>
      <c r="W24" s="222" t="str">
        <f>IF(L10="","FFFFFF",IF(LEN(L10)=6,CONCATENATE(MID(L10,2,1),MID(L10,1,1),"F",MID(L10,3,1),MID(L10,6,1),MID(L10,5,1)),CONCATENATE(MID(L10,2,1),MID(L10,1,1),MID(L10,7,1),MID(L10,3,1),MID(L10,6,1),MID(L10,5,1))))</f>
        <v>FFFFFF</v>
      </c>
      <c r="X24" s="223" t="str">
        <f>IF(L10="","0xFF,0xFF,0xFF",IF(LEN(L10)=6,CONCATENATE("0x",MID(L10,2,1),MID(L10,1,1),".0xF",MID(L10,3,1),",0x",MID(L10,6,1),MID(L10,5,1)),CONCATENATE("0x",MID(L10,2,1),MID(L10,1,1),",0x",MID(L10,7,1),MID(L10,3,1),",0x",MID(L10,6,1),MID(L10,5,1))))</f>
        <v>0xFF,0xFF,0xFF</v>
      </c>
    </row>
    <row r="25" spans="2:24" ht="12.75">
      <c r="B25" s="333" t="s">
        <v>104</v>
      </c>
      <c r="C25" s="334"/>
      <c r="D25" s="334"/>
      <c r="E25" s="331"/>
      <c r="F25" s="331"/>
      <c r="G25" s="331"/>
      <c r="I25" s="37"/>
      <c r="J25" s="37"/>
      <c r="K25" s="37"/>
      <c r="L25" s="37"/>
      <c r="M25" s="37"/>
      <c r="N25" s="37"/>
      <c r="O25" s="43"/>
      <c r="P25" s="15"/>
      <c r="Q25" s="15"/>
      <c r="R25" s="15"/>
      <c r="S25" s="15"/>
      <c r="T25" s="15"/>
      <c r="U25" s="15"/>
      <c r="V25">
        <f>IF(L12&lt;&gt;"",CONCATENATE("HPLMN20: ",L12),"")</f>
      </c>
      <c r="W25" s="222" t="str">
        <f>IF(L11="","FFFFFF",IF(LEN(L11)=6,CONCATENATE(MID(L11,2,1),MID(L11,1,1),"F",MID(L11,3,1),MID(L11,6,1),MID(L11,5,1)),CONCATENATE(MID(L11,2,1),MID(L11,1,1),MID(L11,7,1),MID(L11,3,1),MID(L11,6,1),MID(L11,5,1))))</f>
        <v>FFFFFF</v>
      </c>
      <c r="X25" s="223" t="str">
        <f>IF(L11="","0xFF,0xFF,0xFF",IF(LEN(L11)=6,CONCATENATE("0x",MID(L11,2,1),MID(L11,1,1),".0xF",MID(L11,3,1),",0x",MID(L11,6,1),MID(L11,5,1)),CONCATENATE("0x",MID(L11,2,1),MID(L11,1,1),",0x",MID(L11,7,1),MID(L11,3,1),",0x",MID(L11,6,1),MID(L11,5,1))))</f>
        <v>0xFF,0xFF,0xFF</v>
      </c>
    </row>
    <row r="26" spans="2:24" ht="12.75">
      <c r="B26" s="332" t="s">
        <v>105</v>
      </c>
      <c r="C26" s="332"/>
      <c r="D26" s="332"/>
      <c r="E26" s="41"/>
      <c r="F26" s="4"/>
      <c r="G26" s="4"/>
      <c r="I26" s="37"/>
      <c r="J26" s="37"/>
      <c r="K26" s="37"/>
      <c r="L26" s="37"/>
      <c r="M26" s="37"/>
      <c r="N26" s="37"/>
      <c r="O26" s="43"/>
      <c r="P26" s="15"/>
      <c r="Q26" s="15"/>
      <c r="R26" s="15"/>
      <c r="S26" s="15"/>
      <c r="T26" s="15"/>
      <c r="U26" s="15"/>
      <c r="W26" s="222" t="str">
        <f>IF(L12="","FFFFFF",IF(LEN(L12)=6,CONCATENATE(MID(L12,2,1),MID(L12,1,1),"F",MID(L12,3,1),MID(L12,6,1),MID(L12,5,1)),CONCATENATE(MID(L12,2,1),MID(L12,1,1),MID(L12,7,1),MID(L12,3,1),MID(L12,6,1),MID(L12,5,1))))</f>
        <v>FFFFFF</v>
      </c>
      <c r="X26" s="223" t="str">
        <f>IF(L12="","0xFF,0xFF,0xFF",IF(LEN(L12)=6,CONCATENATE("0x",MID(L12,2,1),MID(L12,1,1),".0xF",MID(L12,3,1),",0x",MID(L12,6,1),MID(L12,5,1)),CONCATENATE("0x",MID(L12,2,1),MID(L12,1,1),",0x",MID(L12,7,1),MID(L12,3,1),",0x",MID(L12,6,1),MID(L12,5,1))))</f>
        <v>0xFF,0xFF,0xFF</v>
      </c>
    </row>
    <row r="27" spans="2:21" ht="12.75">
      <c r="B27" s="333" t="s">
        <v>106</v>
      </c>
      <c r="C27" s="334"/>
      <c r="D27" s="334"/>
      <c r="E27" s="331"/>
      <c r="F27" s="331"/>
      <c r="G27" s="331"/>
      <c r="I27" s="37"/>
      <c r="J27" s="37"/>
      <c r="K27" s="37"/>
      <c r="L27" s="37"/>
      <c r="M27" s="37"/>
      <c r="N27" s="37"/>
      <c r="O27" s="43"/>
      <c r="P27" s="15"/>
      <c r="Q27" s="15"/>
      <c r="R27" s="15"/>
      <c r="S27" s="15"/>
      <c r="T27" s="15"/>
      <c r="U27" s="15"/>
    </row>
    <row r="28" spans="1:21" ht="12.75">
      <c r="A28" s="4"/>
      <c r="B28" s="4"/>
      <c r="C28" s="4"/>
      <c r="D28" s="4"/>
      <c r="E28" s="4"/>
      <c r="F28" s="4"/>
      <c r="G28" s="4"/>
      <c r="H28" s="4"/>
      <c r="I28" s="4"/>
      <c r="J28" s="4"/>
      <c r="K28" s="4"/>
      <c r="L28" s="4"/>
      <c r="M28" s="4"/>
      <c r="N28" s="4"/>
      <c r="O28" s="83"/>
      <c r="P28" s="4"/>
      <c r="Q28" s="4"/>
      <c r="R28" s="4"/>
      <c r="S28" s="4"/>
      <c r="T28" s="4"/>
      <c r="U28" s="4"/>
    </row>
    <row r="29" ht="13.5" thickBot="1">
      <c r="O29" s="80"/>
    </row>
    <row r="30" spans="1:21" ht="13.5" thickBot="1">
      <c r="A30" s="34"/>
      <c r="B30" s="338" t="s">
        <v>107</v>
      </c>
      <c r="C30" s="339"/>
      <c r="D30" s="339"/>
      <c r="E30" s="36"/>
      <c r="I30" s="327" t="s">
        <v>98</v>
      </c>
      <c r="J30" s="328"/>
      <c r="K30" s="328"/>
      <c r="L30" s="328"/>
      <c r="M30" s="328"/>
      <c r="N30" s="329"/>
      <c r="O30" s="82"/>
      <c r="P30" s="36"/>
      <c r="Q30" s="36"/>
      <c r="R30" s="36"/>
      <c r="S30" s="36"/>
      <c r="T30" s="36"/>
      <c r="U30" s="36"/>
    </row>
    <row r="31" spans="2:21" ht="12.75">
      <c r="B31" s="15"/>
      <c r="C31" s="15"/>
      <c r="D31" s="15"/>
      <c r="E31" s="15"/>
      <c r="I31" s="37"/>
      <c r="J31" s="37"/>
      <c r="K31" s="37"/>
      <c r="L31" s="37"/>
      <c r="M31" s="37"/>
      <c r="N31" s="37"/>
      <c r="O31" s="43"/>
      <c r="P31" s="15"/>
      <c r="Q31" s="15"/>
      <c r="R31" s="15"/>
      <c r="S31" s="15"/>
      <c r="T31" s="15"/>
      <c r="U31" s="15"/>
    </row>
    <row r="32" spans="2:21" ht="12.75">
      <c r="B32" s="15"/>
      <c r="C32" s="15"/>
      <c r="D32" s="15"/>
      <c r="E32" s="15"/>
      <c r="I32" s="37"/>
      <c r="J32" s="37"/>
      <c r="K32" s="37"/>
      <c r="L32" s="37"/>
      <c r="M32" s="37"/>
      <c r="N32" s="37"/>
      <c r="O32" s="43"/>
      <c r="P32" s="15"/>
      <c r="Q32" s="15"/>
      <c r="R32" s="15"/>
      <c r="S32" s="15"/>
      <c r="T32" s="15"/>
      <c r="U32" s="15"/>
    </row>
    <row r="33" spans="2:21" ht="12.75">
      <c r="B33" s="15"/>
      <c r="C33" s="15"/>
      <c r="D33" s="15"/>
      <c r="E33" s="15"/>
      <c r="I33" s="37"/>
      <c r="J33" s="37"/>
      <c r="K33" s="37"/>
      <c r="L33" s="37"/>
      <c r="M33" s="37"/>
      <c r="N33" s="37"/>
      <c r="O33" s="43"/>
      <c r="P33" s="15"/>
      <c r="Q33" s="15"/>
      <c r="R33" s="15"/>
      <c r="S33" s="15"/>
      <c r="T33" s="15"/>
      <c r="U33" s="15"/>
    </row>
    <row r="34" spans="2:21" ht="12.75">
      <c r="B34" s="15"/>
      <c r="C34" s="15"/>
      <c r="D34" s="15"/>
      <c r="E34" s="15"/>
      <c r="I34" s="37"/>
      <c r="J34" s="37"/>
      <c r="K34" s="37"/>
      <c r="L34" s="37"/>
      <c r="M34" s="37"/>
      <c r="N34" s="37"/>
      <c r="O34" s="43"/>
      <c r="P34" s="15"/>
      <c r="Q34" s="15"/>
      <c r="R34" s="15"/>
      <c r="S34" s="15"/>
      <c r="T34" s="15"/>
      <c r="U34" s="15"/>
    </row>
    <row r="35" spans="2:21" ht="12.75">
      <c r="B35" s="15"/>
      <c r="C35" s="15"/>
      <c r="D35" s="15"/>
      <c r="E35" s="15"/>
      <c r="I35" s="37"/>
      <c r="J35" s="37"/>
      <c r="K35" s="37"/>
      <c r="L35" s="37"/>
      <c r="M35" s="37"/>
      <c r="N35" s="37"/>
      <c r="O35" s="43"/>
      <c r="P35" s="15"/>
      <c r="Q35" s="15"/>
      <c r="R35" s="15"/>
      <c r="S35" s="15"/>
      <c r="T35" s="15"/>
      <c r="U35" s="15"/>
    </row>
    <row r="36" spans="2:15" ht="12.75">
      <c r="B36" s="43"/>
      <c r="C36" s="43"/>
      <c r="D36" s="43"/>
      <c r="E36" s="43"/>
      <c r="F36" s="43"/>
      <c r="O36" s="80"/>
    </row>
    <row r="37" spans="2:15" ht="12.75">
      <c r="B37" s="22"/>
      <c r="C37" s="22"/>
      <c r="D37" s="22"/>
      <c r="E37" s="22"/>
      <c r="F37" s="22"/>
      <c r="I37" s="44" t="s">
        <v>108</v>
      </c>
      <c r="J37" s="247" t="s">
        <v>109</v>
      </c>
      <c r="K37" s="256"/>
      <c r="L37" s="45" t="s">
        <v>108</v>
      </c>
      <c r="M37" s="247" t="s">
        <v>109</v>
      </c>
      <c r="N37" s="247"/>
      <c r="O37" s="84"/>
    </row>
    <row r="38" spans="2:15" ht="12.75">
      <c r="B38" s="22"/>
      <c r="C38" s="22"/>
      <c r="D38" s="22"/>
      <c r="E38" s="22"/>
      <c r="F38" s="22"/>
      <c r="I38" s="46">
        <v>6</v>
      </c>
      <c r="J38" s="321"/>
      <c r="K38" s="335"/>
      <c r="L38" s="47">
        <v>11</v>
      </c>
      <c r="M38" s="321"/>
      <c r="N38" s="321"/>
      <c r="O38" s="84"/>
    </row>
    <row r="39" spans="2:15" ht="12.75">
      <c r="B39" s="22"/>
      <c r="C39" s="22"/>
      <c r="D39" s="22"/>
      <c r="E39" s="22"/>
      <c r="F39" s="22"/>
      <c r="I39" s="46">
        <v>7</v>
      </c>
      <c r="J39" s="321"/>
      <c r="K39" s="335"/>
      <c r="L39" s="47">
        <v>12</v>
      </c>
      <c r="M39" s="321"/>
      <c r="N39" s="321"/>
      <c r="O39" s="84"/>
    </row>
    <row r="40" spans="2:15" ht="12.75">
      <c r="B40" s="22"/>
      <c r="C40" s="22"/>
      <c r="D40" s="22"/>
      <c r="E40" s="22"/>
      <c r="F40" s="22"/>
      <c r="I40" s="46">
        <v>8</v>
      </c>
      <c r="J40" s="321"/>
      <c r="K40" s="335"/>
      <c r="L40" s="47">
        <v>13</v>
      </c>
      <c r="M40" s="321"/>
      <c r="N40" s="321"/>
      <c r="O40" s="84"/>
    </row>
    <row r="41" spans="2:15" ht="12.75">
      <c r="B41" s="22"/>
      <c r="C41" s="22"/>
      <c r="D41" s="22"/>
      <c r="E41" s="22"/>
      <c r="F41" s="22"/>
      <c r="I41" s="46">
        <v>9</v>
      </c>
      <c r="J41" s="321"/>
      <c r="K41" s="335"/>
      <c r="L41" s="47">
        <v>14</v>
      </c>
      <c r="M41" s="321"/>
      <c r="N41" s="321"/>
      <c r="O41" s="84"/>
    </row>
    <row r="42" spans="2:15" ht="12.75">
      <c r="B42" s="22"/>
      <c r="C42" s="22"/>
      <c r="D42" s="22"/>
      <c r="E42" s="22"/>
      <c r="F42" s="22"/>
      <c r="I42" s="46">
        <v>10</v>
      </c>
      <c r="J42" s="321"/>
      <c r="K42" s="335"/>
      <c r="L42" s="47">
        <v>15</v>
      </c>
      <c r="M42" s="321"/>
      <c r="N42" s="321"/>
      <c r="O42" s="84"/>
    </row>
    <row r="43" ht="13.5" thickBot="1">
      <c r="O43" s="80"/>
    </row>
    <row r="44" spans="1:21" ht="13.5" thickBot="1">
      <c r="A44" s="34"/>
      <c r="B44" s="338" t="s">
        <v>110</v>
      </c>
      <c r="C44" s="339"/>
      <c r="D44" s="339"/>
      <c r="E44" s="36"/>
      <c r="I44" s="327" t="s">
        <v>98</v>
      </c>
      <c r="J44" s="328"/>
      <c r="K44" s="328"/>
      <c r="L44" s="328"/>
      <c r="M44" s="328"/>
      <c r="N44" s="329"/>
      <c r="O44" s="82"/>
      <c r="P44" s="36"/>
      <c r="Q44" s="36"/>
      <c r="R44" s="36"/>
      <c r="S44" s="36"/>
      <c r="T44" s="36"/>
      <c r="U44" s="36"/>
    </row>
    <row r="45" spans="2:21" ht="12.75">
      <c r="B45" s="15"/>
      <c r="C45" s="15"/>
      <c r="D45" s="15"/>
      <c r="E45" s="15"/>
      <c r="I45" s="37"/>
      <c r="J45" s="37"/>
      <c r="K45" s="37"/>
      <c r="L45" s="37"/>
      <c r="M45" s="37"/>
      <c r="N45" s="37"/>
      <c r="O45" s="43"/>
      <c r="P45" s="15"/>
      <c r="Q45" s="15"/>
      <c r="R45" s="15"/>
      <c r="S45" s="15"/>
      <c r="T45" s="15"/>
      <c r="U45" s="15"/>
    </row>
    <row r="46" spans="2:21" ht="12.75">
      <c r="B46" s="347" t="s">
        <v>111</v>
      </c>
      <c r="C46" s="348"/>
      <c r="D46" s="349"/>
      <c r="E46" s="335"/>
      <c r="F46" s="336"/>
      <c r="I46" s="37"/>
      <c r="J46" s="37"/>
      <c r="K46" s="37"/>
      <c r="L46" s="37"/>
      <c r="M46" s="37"/>
      <c r="N46" s="37"/>
      <c r="O46" s="43"/>
      <c r="P46" s="15"/>
      <c r="Q46" s="15"/>
      <c r="R46" s="15"/>
      <c r="S46" s="15"/>
      <c r="T46" s="15"/>
      <c r="U46" s="15"/>
    </row>
    <row r="47" spans="2:21" ht="12.75">
      <c r="B47" s="15"/>
      <c r="C47" s="15"/>
      <c r="D47" s="15"/>
      <c r="E47" s="15"/>
      <c r="I47" s="37"/>
      <c r="J47" s="37"/>
      <c r="K47" s="37"/>
      <c r="L47" s="37"/>
      <c r="M47" s="37"/>
      <c r="N47" s="37"/>
      <c r="O47" s="43"/>
      <c r="P47" s="15"/>
      <c r="Q47" s="15"/>
      <c r="R47" s="15"/>
      <c r="S47" s="15"/>
      <c r="T47" s="15"/>
      <c r="U47" s="15"/>
    </row>
    <row r="48" spans="2:21" ht="12.75">
      <c r="B48" s="15"/>
      <c r="C48" s="15"/>
      <c r="D48" s="15"/>
      <c r="E48" s="15"/>
      <c r="I48" s="37"/>
      <c r="J48" s="37"/>
      <c r="K48" s="37"/>
      <c r="L48" s="37"/>
      <c r="M48" s="37"/>
      <c r="N48" s="37"/>
      <c r="O48" s="43"/>
      <c r="P48" s="15"/>
      <c r="Q48" s="15"/>
      <c r="R48" s="15"/>
      <c r="S48" s="15"/>
      <c r="T48" s="15"/>
      <c r="U48" s="15"/>
    </row>
    <row r="49" spans="2:21" ht="12.75">
      <c r="B49" s="15"/>
      <c r="C49" s="15"/>
      <c r="D49" s="15"/>
      <c r="E49" s="15"/>
      <c r="I49" s="37"/>
      <c r="J49" s="37"/>
      <c r="K49" s="37"/>
      <c r="L49" s="37"/>
      <c r="M49" s="37"/>
      <c r="N49" s="37"/>
      <c r="O49" s="43"/>
      <c r="P49" s="15"/>
      <c r="Q49" s="15"/>
      <c r="R49" s="15"/>
      <c r="S49" s="15"/>
      <c r="T49" s="15"/>
      <c r="U49" s="15"/>
    </row>
    <row r="50" ht="12.75">
      <c r="O50" s="80"/>
    </row>
    <row r="51" ht="13.5" thickBot="1">
      <c r="O51" s="80"/>
    </row>
    <row r="52" spans="1:15" ht="13.5" thickBot="1">
      <c r="A52" s="34"/>
      <c r="B52" s="345" t="s">
        <v>112</v>
      </c>
      <c r="C52" s="334"/>
      <c r="D52" s="334"/>
      <c r="E52" s="334"/>
      <c r="F52" s="346"/>
      <c r="O52" s="80"/>
    </row>
    <row r="53" ht="13.5" thickBot="1">
      <c r="O53" s="80"/>
    </row>
    <row r="54" spans="1:15" ht="13.5" thickBot="1">
      <c r="A54" s="34"/>
      <c r="B54" s="345" t="s">
        <v>113</v>
      </c>
      <c r="C54" s="334"/>
      <c r="D54" s="334"/>
      <c r="E54" s="334"/>
      <c r="F54" s="346"/>
      <c r="O54" s="80"/>
    </row>
    <row r="55" spans="2:15" ht="13.5" thickBot="1">
      <c r="B55" s="30"/>
      <c r="C55" s="30"/>
      <c r="D55" s="30"/>
      <c r="E55" s="30"/>
      <c r="F55" s="30"/>
      <c r="O55" s="80"/>
    </row>
    <row r="56" spans="1:15" ht="13.5" thickBot="1">
      <c r="A56" s="34"/>
      <c r="B56" s="345" t="s">
        <v>114</v>
      </c>
      <c r="C56" s="334"/>
      <c r="D56" s="334"/>
      <c r="E56" s="334"/>
      <c r="F56" s="346"/>
      <c r="O56" s="80"/>
    </row>
    <row r="57" spans="2:15" ht="13.5" thickBot="1">
      <c r="B57" s="30"/>
      <c r="C57" s="30"/>
      <c r="D57" s="30"/>
      <c r="E57" s="30"/>
      <c r="F57" s="30"/>
      <c r="G57" s="36"/>
      <c r="H57" s="36"/>
      <c r="I57" s="36"/>
      <c r="J57" s="36"/>
      <c r="K57" s="36"/>
      <c r="L57" s="15"/>
      <c r="O57" s="80"/>
    </row>
    <row r="58" spans="1:15" ht="14.25" customHeight="1" thickBot="1">
      <c r="A58" s="34"/>
      <c r="B58" s="345" t="s">
        <v>115</v>
      </c>
      <c r="C58" s="334"/>
      <c r="D58" s="334"/>
      <c r="E58" s="334"/>
      <c r="F58" s="346"/>
      <c r="G58" s="15"/>
      <c r="I58" s="256" t="s">
        <v>116</v>
      </c>
      <c r="J58" s="330"/>
      <c r="K58" s="330"/>
      <c r="L58" s="330"/>
      <c r="M58" s="257"/>
      <c r="O58" s="80"/>
    </row>
    <row r="59" spans="2:15" ht="12.75">
      <c r="B59" s="48"/>
      <c r="G59" s="15"/>
      <c r="I59" s="49">
        <v>1</v>
      </c>
      <c r="J59" s="9" t="s">
        <v>117</v>
      </c>
      <c r="K59" s="23"/>
      <c r="L59" s="9">
        <v>4</v>
      </c>
      <c r="M59" s="9"/>
      <c r="O59" s="80"/>
    </row>
    <row r="60" spans="7:15" ht="12.75">
      <c r="G60" s="15"/>
      <c r="I60" s="49">
        <v>2</v>
      </c>
      <c r="J60" s="9"/>
      <c r="K60" s="23"/>
      <c r="L60" s="9">
        <v>5</v>
      </c>
      <c r="M60" s="9"/>
      <c r="O60" s="80"/>
    </row>
    <row r="61" spans="7:15" ht="12.75">
      <c r="G61" s="15"/>
      <c r="I61" s="49">
        <v>3</v>
      </c>
      <c r="J61" s="9"/>
      <c r="K61" s="23"/>
      <c r="L61" s="9">
        <v>6</v>
      </c>
      <c r="M61" s="9"/>
      <c r="O61" s="80"/>
    </row>
  </sheetData>
  <mergeCells count="57">
    <mergeCell ref="O7:O19"/>
    <mergeCell ref="B56:F56"/>
    <mergeCell ref="B58:F58"/>
    <mergeCell ref="B14:D14"/>
    <mergeCell ref="B18:D18"/>
    <mergeCell ref="B19:D19"/>
    <mergeCell ref="B46:D46"/>
    <mergeCell ref="B52:F52"/>
    <mergeCell ref="B54:F54"/>
    <mergeCell ref="B30:D30"/>
    <mergeCell ref="B44:D44"/>
    <mergeCell ref="B7:D7"/>
    <mergeCell ref="B22:D22"/>
    <mergeCell ref="B3:D3"/>
    <mergeCell ref="B5:D5"/>
    <mergeCell ref="E5:F5"/>
    <mergeCell ref="B4:D4"/>
    <mergeCell ref="E4:F4"/>
    <mergeCell ref="G5:H5"/>
    <mergeCell ref="G4:H4"/>
    <mergeCell ref="I5:N5"/>
    <mergeCell ref="A1:A2"/>
    <mergeCell ref="B2:D2"/>
    <mergeCell ref="E2:F2"/>
    <mergeCell ref="G2:H2"/>
    <mergeCell ref="I2:N2"/>
    <mergeCell ref="G3:H3"/>
    <mergeCell ref="I3:N3"/>
    <mergeCell ref="E3:F3"/>
    <mergeCell ref="B1:P1"/>
    <mergeCell ref="M40:N40"/>
    <mergeCell ref="I7:N7"/>
    <mergeCell ref="I14:N14"/>
    <mergeCell ref="I22:N22"/>
    <mergeCell ref="I30:N30"/>
    <mergeCell ref="M37:N37"/>
    <mergeCell ref="M38:N38"/>
    <mergeCell ref="I4:N4"/>
    <mergeCell ref="M41:N41"/>
    <mergeCell ref="M42:N42"/>
    <mergeCell ref="J37:K37"/>
    <mergeCell ref="J38:K38"/>
    <mergeCell ref="J39:K39"/>
    <mergeCell ref="J40:K40"/>
    <mergeCell ref="J41:K41"/>
    <mergeCell ref="J42:K42"/>
    <mergeCell ref="M39:N39"/>
    <mergeCell ref="I44:N44"/>
    <mergeCell ref="I58:M58"/>
    <mergeCell ref="E19:G19"/>
    <mergeCell ref="B24:D24"/>
    <mergeCell ref="B25:D25"/>
    <mergeCell ref="B26:D26"/>
    <mergeCell ref="B27:D27"/>
    <mergeCell ref="E25:G25"/>
    <mergeCell ref="E27:G27"/>
    <mergeCell ref="E46:F46"/>
  </mergeCells>
  <conditionalFormatting sqref="G4:H5">
    <cfRule type="cellIs" priority="1" dxfId="0" operator="equal" stopIfTrue="1">
      <formula>""</formula>
    </cfRule>
  </conditionalFormatting>
  <dataValidations count="2">
    <dataValidation type="whole" allowBlank="1" showInputMessage="1" showErrorMessage="1" error="IMSI digit must be between digits 6 and 15 inclusive." sqref="E18 E24 E26">
      <formula1>6</formula1>
      <formula2>15</formula2>
    </dataValidation>
    <dataValidation type="list" allowBlank="1" showInputMessage="1" showErrorMessage="1" sqref="G3:H3">
      <formula1>$R$3:$AD$3</formula1>
    </dataValidation>
  </dataValidations>
  <printOptions/>
  <pageMargins left="0.75" right="0.75" top="1" bottom="1" header="0.5" footer="0.5"/>
  <pageSetup fitToHeight="1" fitToWidth="1" horizontalDpi="600" verticalDpi="600" orientation="portrait" scale="64" r:id="rId3"/>
  <headerFooter alignWithMargins="0">
    <oddFooter>&amp;CPage &amp;P of &amp;N</oddFooter>
  </headerFooter>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V74"/>
  <sheetViews>
    <sheetView showGridLines="0" zoomScale="75" zoomScaleNormal="75" zoomScaleSheetLayoutView="100" workbookViewId="0" topLeftCell="A1">
      <selection activeCell="B2" sqref="B2:D2"/>
    </sheetView>
  </sheetViews>
  <sheetFormatPr defaultColWidth="9.140625" defaultRowHeight="12.75"/>
  <cols>
    <col min="4" max="4" width="9.57421875" style="0" customWidth="1"/>
    <col min="15" max="15" width="71.421875" style="0" customWidth="1"/>
    <col min="16" max="16" width="70.00390625" style="0" hidden="1" customWidth="1"/>
    <col min="17" max="19" width="7.8515625" style="0" hidden="1" customWidth="1"/>
    <col min="20" max="22" width="0" style="0" hidden="1" customWidth="1"/>
  </cols>
  <sheetData>
    <row r="1" spans="1:16" ht="18.75" thickTop="1">
      <c r="A1" s="337" t="s">
        <v>690</v>
      </c>
      <c r="B1" s="316" t="s">
        <v>133</v>
      </c>
      <c r="C1" s="317"/>
      <c r="D1" s="317"/>
      <c r="E1" s="317"/>
      <c r="F1" s="317"/>
      <c r="G1" s="317"/>
      <c r="H1" s="317"/>
      <c r="I1" s="317"/>
      <c r="J1" s="317"/>
      <c r="K1" s="317"/>
      <c r="L1" s="317"/>
      <c r="M1" s="317"/>
      <c r="N1" s="317"/>
      <c r="O1" s="318"/>
      <c r="P1" s="319"/>
    </row>
    <row r="2" spans="1:16" ht="13.5" customHeight="1">
      <c r="A2" s="337"/>
      <c r="B2" s="321" t="s">
        <v>314</v>
      </c>
      <c r="C2" s="321"/>
      <c r="D2" s="321"/>
      <c r="E2" s="321" t="s">
        <v>315</v>
      </c>
      <c r="F2" s="321"/>
      <c r="G2" s="321" t="s">
        <v>316</v>
      </c>
      <c r="H2" s="321"/>
      <c r="I2" s="321" t="s">
        <v>317</v>
      </c>
      <c r="J2" s="321"/>
      <c r="K2" s="321"/>
      <c r="L2" s="321"/>
      <c r="M2" s="321"/>
      <c r="N2" s="321"/>
      <c r="O2" s="63" t="s">
        <v>1333</v>
      </c>
      <c r="P2" s="63" t="s">
        <v>673</v>
      </c>
    </row>
    <row r="3" spans="1:22" ht="104.25" customHeight="1">
      <c r="A3" s="1">
        <v>6</v>
      </c>
      <c r="B3" s="295" t="s">
        <v>134</v>
      </c>
      <c r="C3" s="296"/>
      <c r="D3" s="296"/>
      <c r="E3" s="308" t="s">
        <v>718</v>
      </c>
      <c r="F3" s="308"/>
      <c r="G3" s="308" t="s">
        <v>718</v>
      </c>
      <c r="H3" s="308"/>
      <c r="I3" s="270" t="s">
        <v>1581</v>
      </c>
      <c r="J3" s="270"/>
      <c r="K3" s="270"/>
      <c r="L3" s="270"/>
      <c r="M3" s="270"/>
      <c r="N3" s="270"/>
      <c r="O3" s="70" t="s">
        <v>1038</v>
      </c>
      <c r="P3" s="90" t="s">
        <v>1564</v>
      </c>
      <c r="Q3" t="s">
        <v>718</v>
      </c>
      <c r="R3" t="s">
        <v>937</v>
      </c>
      <c r="S3" t="s">
        <v>938</v>
      </c>
      <c r="V3">
        <f>IF(G3="","",IF(ISERROR(SEARCH(E3,G3)),CONCATENATE(P3," - ",G3),""))</f>
      </c>
    </row>
    <row r="4" spans="1:22" ht="50.25" customHeight="1">
      <c r="A4" s="1">
        <f aca="true" t="shared" si="0" ref="A4:A9">A3+0.01</f>
        <v>6.01</v>
      </c>
      <c r="B4" s="295" t="s">
        <v>135</v>
      </c>
      <c r="C4" s="296"/>
      <c r="D4" s="296"/>
      <c r="E4" s="308" t="s">
        <v>942</v>
      </c>
      <c r="F4" s="308"/>
      <c r="G4" s="308" t="s">
        <v>442</v>
      </c>
      <c r="H4" s="308"/>
      <c r="I4" s="270" t="s">
        <v>136</v>
      </c>
      <c r="J4" s="270"/>
      <c r="K4" s="270"/>
      <c r="L4" s="270"/>
      <c r="M4" s="270"/>
      <c r="N4" s="270"/>
      <c r="O4" s="70" t="s">
        <v>348</v>
      </c>
      <c r="P4" s="90" t="s">
        <v>759</v>
      </c>
      <c r="V4" t="str">
        <f>IF(G4=E4,"",IF(G4="","",CONCATENATE(P4," - ",G4)))</f>
        <v>DL_DB_FEATURE_ID_GPRS_STATUS_STRING - GPRS</v>
      </c>
    </row>
    <row r="5" spans="1:22" ht="92.25" customHeight="1">
      <c r="A5" s="1">
        <f t="shared" si="0"/>
        <v>6.02</v>
      </c>
      <c r="B5" s="295" t="s">
        <v>137</v>
      </c>
      <c r="C5" s="296"/>
      <c r="D5" s="296"/>
      <c r="E5" s="308" t="s">
        <v>689</v>
      </c>
      <c r="F5" s="308"/>
      <c r="G5" s="308" t="s">
        <v>689</v>
      </c>
      <c r="H5" s="308"/>
      <c r="I5" s="312" t="s">
        <v>1213</v>
      </c>
      <c r="J5" s="270"/>
      <c r="K5" s="270"/>
      <c r="L5" s="270"/>
      <c r="M5" s="270"/>
      <c r="N5" s="270"/>
      <c r="O5" s="70" t="s">
        <v>349</v>
      </c>
      <c r="P5" s="90" t="s">
        <v>814</v>
      </c>
      <c r="Q5" t="s">
        <v>322</v>
      </c>
      <c r="R5" t="s">
        <v>689</v>
      </c>
      <c r="V5">
        <f>IF(G5="","",IF(ISERROR(SEARCH(E5,G5)),CONCATENATE(P5," - ",G5),""))</f>
      </c>
    </row>
    <row r="6" spans="1:22" ht="68.25" customHeight="1">
      <c r="A6" s="1">
        <f t="shared" si="0"/>
        <v>6.029999999999999</v>
      </c>
      <c r="B6" s="295" t="s">
        <v>138</v>
      </c>
      <c r="C6" s="296"/>
      <c r="D6" s="296"/>
      <c r="E6" s="308" t="s">
        <v>689</v>
      </c>
      <c r="F6" s="308"/>
      <c r="G6" s="308" t="s">
        <v>689</v>
      </c>
      <c r="H6" s="308"/>
      <c r="I6" s="270" t="s">
        <v>1582</v>
      </c>
      <c r="J6" s="270"/>
      <c r="K6" s="270"/>
      <c r="L6" s="270"/>
      <c r="M6" s="270"/>
      <c r="N6" s="270"/>
      <c r="O6" s="70" t="s">
        <v>569</v>
      </c>
      <c r="P6" s="90" t="s">
        <v>195</v>
      </c>
      <c r="Q6" t="s">
        <v>322</v>
      </c>
      <c r="R6" t="s">
        <v>689</v>
      </c>
      <c r="V6">
        <f>IF(G6="","",IF(ISERROR(SEARCH(E6,G6)),CONCATENATE(P6," - ",G6),""))</f>
      </c>
    </row>
    <row r="7" spans="1:22" ht="64.5" customHeight="1">
      <c r="A7" s="1">
        <f t="shared" si="0"/>
        <v>6.039999999999999</v>
      </c>
      <c r="B7" s="295" t="s">
        <v>139</v>
      </c>
      <c r="C7" s="296"/>
      <c r="D7" s="296"/>
      <c r="E7" s="308" t="s">
        <v>689</v>
      </c>
      <c r="F7" s="308"/>
      <c r="G7" s="308" t="s">
        <v>322</v>
      </c>
      <c r="H7" s="308"/>
      <c r="I7" s="270" t="s">
        <v>1214</v>
      </c>
      <c r="J7" s="270"/>
      <c r="K7" s="270"/>
      <c r="L7" s="270"/>
      <c r="M7" s="270"/>
      <c r="N7" s="270"/>
      <c r="O7" s="70" t="s">
        <v>570</v>
      </c>
      <c r="P7" s="90" t="s">
        <v>196</v>
      </c>
      <c r="Q7" t="s">
        <v>322</v>
      </c>
      <c r="R7" t="s">
        <v>689</v>
      </c>
      <c r="V7" t="str">
        <f>IF(G7="","",IF(ISERROR(SEARCH(E7,G7)),CONCATENATE(P7," - ",G7),""))</f>
        <v>DL_DB_FEATURE_ID_BROWSER_SERVICE_STATE - On</v>
      </c>
    </row>
    <row r="8" spans="1:22" ht="68.25" customHeight="1">
      <c r="A8" s="1">
        <f t="shared" si="0"/>
        <v>6.049999999999999</v>
      </c>
      <c r="B8" s="295" t="s">
        <v>140</v>
      </c>
      <c r="C8" s="296"/>
      <c r="D8" s="296"/>
      <c r="E8" s="308">
        <v>120</v>
      </c>
      <c r="F8" s="308"/>
      <c r="G8" s="308">
        <v>90</v>
      </c>
      <c r="H8" s="308"/>
      <c r="I8" s="270" t="s">
        <v>141</v>
      </c>
      <c r="J8" s="270"/>
      <c r="K8" s="270"/>
      <c r="L8" s="270"/>
      <c r="M8" s="270"/>
      <c r="N8" s="270"/>
      <c r="O8" s="71" t="s">
        <v>571</v>
      </c>
      <c r="P8" s="90" t="s">
        <v>571</v>
      </c>
      <c r="V8" t="str">
        <f>IF(G8=E8,"",IF(G8="","",CONCATENATE(P8," - ",G8)))</f>
        <v>DL_DB_FEATURE_ID_GPRS_IDLE_TIMEOUT - 90</v>
      </c>
    </row>
    <row r="9" spans="1:22" ht="30" customHeight="1">
      <c r="A9" s="363">
        <f t="shared" si="0"/>
        <v>6.059999999999999</v>
      </c>
      <c r="B9" s="350" t="s">
        <v>1361</v>
      </c>
      <c r="C9" s="350"/>
      <c r="D9" s="350"/>
      <c r="E9" s="358" t="s">
        <v>1429</v>
      </c>
      <c r="F9" s="358"/>
      <c r="G9" s="352" t="s">
        <v>1361</v>
      </c>
      <c r="H9" s="352"/>
      <c r="I9" s="321"/>
      <c r="J9" s="321"/>
      <c r="K9" s="321"/>
      <c r="L9" s="321"/>
      <c r="M9" s="321"/>
      <c r="N9" s="321"/>
      <c r="O9" s="365" t="s">
        <v>672</v>
      </c>
      <c r="P9" s="353"/>
      <c r="V9" t="str">
        <f>IF(G9=E9,"",IF(G9="","",CONCATENATE(B9,": ",G9)))</f>
        <v>Hellomoto: Hellomoto</v>
      </c>
    </row>
    <row r="10" spans="1:22" ht="30" customHeight="1">
      <c r="A10" s="364"/>
      <c r="B10" s="350" t="s">
        <v>1375</v>
      </c>
      <c r="C10" s="350"/>
      <c r="D10" s="350"/>
      <c r="E10" s="351" t="s">
        <v>1429</v>
      </c>
      <c r="F10" s="351"/>
      <c r="G10" s="359" t="s">
        <v>443</v>
      </c>
      <c r="H10" s="359"/>
      <c r="I10" s="321"/>
      <c r="J10" s="321"/>
      <c r="K10" s="321"/>
      <c r="L10" s="321"/>
      <c r="M10" s="321"/>
      <c r="N10" s="321"/>
      <c r="O10" s="365"/>
      <c r="P10" s="354"/>
      <c r="V10" t="str">
        <f aca="true" t="shared" si="1" ref="V10:V20">IF(G10=E10,"",IF(G10="","",CONCATENATE(B10,": ",G10)))</f>
        <v>Hellomoto URL: http://www.hellomoto.com</v>
      </c>
    </row>
    <row r="11" spans="1:22" ht="30" customHeight="1">
      <c r="A11" s="364"/>
      <c r="B11" s="350" t="s">
        <v>634</v>
      </c>
      <c r="C11" s="350"/>
      <c r="D11" s="350"/>
      <c r="E11" s="356" t="s">
        <v>1429</v>
      </c>
      <c r="F11" s="357"/>
      <c r="G11" s="352"/>
      <c r="H11" s="352"/>
      <c r="I11" s="321"/>
      <c r="J11" s="321"/>
      <c r="K11" s="321"/>
      <c r="L11" s="321"/>
      <c r="M11" s="321"/>
      <c r="N11" s="321"/>
      <c r="O11" s="365"/>
      <c r="P11" s="354"/>
      <c r="V11">
        <f t="shared" si="1"/>
      </c>
    </row>
    <row r="12" spans="1:22" ht="30" customHeight="1">
      <c r="A12" s="364"/>
      <c r="B12" s="350" t="s">
        <v>633</v>
      </c>
      <c r="C12" s="350"/>
      <c r="D12" s="350"/>
      <c r="E12" s="281" t="s">
        <v>1429</v>
      </c>
      <c r="F12" s="311"/>
      <c r="G12" s="352"/>
      <c r="H12" s="352"/>
      <c r="I12" s="321"/>
      <c r="J12" s="321"/>
      <c r="K12" s="321"/>
      <c r="L12" s="321"/>
      <c r="M12" s="321"/>
      <c r="N12" s="321"/>
      <c r="O12" s="365"/>
      <c r="P12" s="354"/>
      <c r="V12">
        <f t="shared" si="1"/>
      </c>
    </row>
    <row r="13" spans="1:22" ht="30" customHeight="1">
      <c r="A13" s="364"/>
      <c r="B13" s="350" t="s">
        <v>917</v>
      </c>
      <c r="C13" s="350"/>
      <c r="D13" s="350"/>
      <c r="E13" s="356" t="s">
        <v>1429</v>
      </c>
      <c r="F13" s="357"/>
      <c r="G13" s="352"/>
      <c r="H13" s="352"/>
      <c r="I13" s="321"/>
      <c r="J13" s="321"/>
      <c r="K13" s="321"/>
      <c r="L13" s="321"/>
      <c r="M13" s="321"/>
      <c r="N13" s="321"/>
      <c r="O13" s="365"/>
      <c r="P13" s="354"/>
      <c r="V13">
        <f t="shared" si="1"/>
      </c>
    </row>
    <row r="14" spans="1:22" ht="30" customHeight="1">
      <c r="A14" s="364"/>
      <c r="B14" s="350" t="s">
        <v>918</v>
      </c>
      <c r="C14" s="350"/>
      <c r="D14" s="350"/>
      <c r="E14" s="351" t="s">
        <v>1429</v>
      </c>
      <c r="F14" s="351"/>
      <c r="G14" s="352"/>
      <c r="H14" s="352"/>
      <c r="I14" s="321"/>
      <c r="J14" s="321"/>
      <c r="K14" s="321"/>
      <c r="L14" s="321"/>
      <c r="M14" s="321"/>
      <c r="N14" s="321"/>
      <c r="O14" s="365"/>
      <c r="P14" s="354"/>
      <c r="V14">
        <f t="shared" si="1"/>
      </c>
    </row>
    <row r="15" spans="1:22" ht="30" customHeight="1">
      <c r="A15" s="364"/>
      <c r="B15" s="350" t="s">
        <v>919</v>
      </c>
      <c r="C15" s="350"/>
      <c r="D15" s="350"/>
      <c r="E15" s="351" t="s">
        <v>1429</v>
      </c>
      <c r="F15" s="351"/>
      <c r="G15" s="352"/>
      <c r="H15" s="352"/>
      <c r="I15" s="321"/>
      <c r="J15" s="321"/>
      <c r="K15" s="321"/>
      <c r="L15" s="321"/>
      <c r="M15" s="321"/>
      <c r="N15" s="321"/>
      <c r="O15" s="365"/>
      <c r="P15" s="354"/>
      <c r="V15">
        <f t="shared" si="1"/>
      </c>
    </row>
    <row r="16" spans="1:22" ht="30" customHeight="1">
      <c r="A16" s="364"/>
      <c r="B16" s="350" t="s">
        <v>920</v>
      </c>
      <c r="C16" s="350"/>
      <c r="D16" s="350"/>
      <c r="E16" s="351" t="s">
        <v>1429</v>
      </c>
      <c r="F16" s="351"/>
      <c r="G16" s="352"/>
      <c r="H16" s="352"/>
      <c r="I16" s="321"/>
      <c r="J16" s="321"/>
      <c r="K16" s="321"/>
      <c r="L16" s="321"/>
      <c r="M16" s="321"/>
      <c r="N16" s="321"/>
      <c r="O16" s="365"/>
      <c r="P16" s="354"/>
      <c r="V16">
        <f t="shared" si="1"/>
      </c>
    </row>
    <row r="17" spans="1:22" ht="30" customHeight="1">
      <c r="A17" s="364"/>
      <c r="B17" s="350" t="s">
        <v>201</v>
      </c>
      <c r="C17" s="350"/>
      <c r="D17" s="350"/>
      <c r="E17" s="351" t="s">
        <v>1429</v>
      </c>
      <c r="F17" s="351"/>
      <c r="G17" s="352"/>
      <c r="H17" s="352"/>
      <c r="I17" s="321"/>
      <c r="J17" s="321"/>
      <c r="K17" s="321"/>
      <c r="L17" s="321"/>
      <c r="M17" s="321"/>
      <c r="N17" s="321"/>
      <c r="O17" s="365"/>
      <c r="P17" s="354"/>
      <c r="V17">
        <f t="shared" si="1"/>
      </c>
    </row>
    <row r="18" spans="1:22" ht="30" customHeight="1">
      <c r="A18" s="364"/>
      <c r="B18" s="350" t="s">
        <v>202</v>
      </c>
      <c r="C18" s="350"/>
      <c r="D18" s="350"/>
      <c r="E18" s="351" t="s">
        <v>1429</v>
      </c>
      <c r="F18" s="351"/>
      <c r="G18" s="352"/>
      <c r="H18" s="352"/>
      <c r="I18" s="321"/>
      <c r="J18" s="321"/>
      <c r="K18" s="321"/>
      <c r="L18" s="321"/>
      <c r="M18" s="321"/>
      <c r="N18" s="321"/>
      <c r="O18" s="365"/>
      <c r="P18" s="354"/>
      <c r="V18">
        <f t="shared" si="1"/>
      </c>
    </row>
    <row r="19" spans="1:22" ht="30" customHeight="1">
      <c r="A19" s="364"/>
      <c r="B19" s="350" t="s">
        <v>203</v>
      </c>
      <c r="C19" s="350"/>
      <c r="D19" s="350"/>
      <c r="E19" s="356" t="s">
        <v>1429</v>
      </c>
      <c r="F19" s="357"/>
      <c r="G19" s="352"/>
      <c r="H19" s="352"/>
      <c r="I19" s="321"/>
      <c r="J19" s="321"/>
      <c r="K19" s="321"/>
      <c r="L19" s="321"/>
      <c r="M19" s="321"/>
      <c r="N19" s="321"/>
      <c r="O19" s="365"/>
      <c r="P19" s="354"/>
      <c r="V19">
        <f t="shared" si="1"/>
      </c>
    </row>
    <row r="20" spans="1:22" ht="30" customHeight="1">
      <c r="A20" s="364"/>
      <c r="B20" s="350" t="s">
        <v>204</v>
      </c>
      <c r="C20" s="350"/>
      <c r="D20" s="350"/>
      <c r="E20" s="351" t="s">
        <v>1429</v>
      </c>
      <c r="F20" s="351"/>
      <c r="G20" s="352"/>
      <c r="H20" s="352"/>
      <c r="I20" s="321"/>
      <c r="J20" s="321"/>
      <c r="K20" s="321"/>
      <c r="L20" s="321"/>
      <c r="M20" s="321"/>
      <c r="N20" s="321"/>
      <c r="O20" s="365"/>
      <c r="P20" s="355"/>
      <c r="V20">
        <f t="shared" si="1"/>
      </c>
    </row>
    <row r="21" spans="1:15" ht="30" customHeight="1">
      <c r="A21" s="364"/>
      <c r="B21" s="350" t="s">
        <v>1188</v>
      </c>
      <c r="C21" s="350"/>
      <c r="D21" s="350"/>
      <c r="E21" s="351" t="s">
        <v>1429</v>
      </c>
      <c r="F21" s="351"/>
      <c r="G21" s="352"/>
      <c r="H21" s="352"/>
      <c r="I21" s="321"/>
      <c r="J21" s="321"/>
      <c r="K21" s="321"/>
      <c r="L21" s="321"/>
      <c r="M21" s="321"/>
      <c r="N21" s="321"/>
      <c r="O21" s="365"/>
    </row>
    <row r="22" spans="1:15" ht="30" customHeight="1">
      <c r="A22" s="364"/>
      <c r="B22" s="350" t="s">
        <v>1190</v>
      </c>
      <c r="C22" s="350"/>
      <c r="D22" s="350"/>
      <c r="E22" s="351" t="s">
        <v>1429</v>
      </c>
      <c r="F22" s="351"/>
      <c r="G22" s="352"/>
      <c r="H22" s="352"/>
      <c r="I22" s="321"/>
      <c r="J22" s="321"/>
      <c r="K22" s="321"/>
      <c r="L22" s="321"/>
      <c r="M22" s="321"/>
      <c r="N22" s="321"/>
      <c r="O22" s="365"/>
    </row>
    <row r="23" spans="1:15" ht="30" customHeight="1">
      <c r="A23" s="364"/>
      <c r="B23" s="350" t="s">
        <v>1191</v>
      </c>
      <c r="C23" s="350"/>
      <c r="D23" s="350"/>
      <c r="E23" s="351" t="s">
        <v>1429</v>
      </c>
      <c r="F23" s="351"/>
      <c r="G23" s="352"/>
      <c r="H23" s="352"/>
      <c r="I23" s="321"/>
      <c r="J23" s="321"/>
      <c r="K23" s="321"/>
      <c r="L23" s="321"/>
      <c r="M23" s="321"/>
      <c r="N23" s="321"/>
      <c r="O23" s="365"/>
    </row>
    <row r="24" spans="1:15" ht="30" customHeight="1">
      <c r="A24" s="364"/>
      <c r="B24" s="350" t="s">
        <v>1192</v>
      </c>
      <c r="C24" s="350"/>
      <c r="D24" s="350"/>
      <c r="E24" s="351" t="s">
        <v>1429</v>
      </c>
      <c r="F24" s="351"/>
      <c r="G24" s="352"/>
      <c r="H24" s="352"/>
      <c r="I24" s="321"/>
      <c r="J24" s="321"/>
      <c r="K24" s="321"/>
      <c r="L24" s="321"/>
      <c r="M24" s="321"/>
      <c r="N24" s="321"/>
      <c r="O24" s="365"/>
    </row>
    <row r="25" spans="1:15" ht="30" customHeight="1">
      <c r="A25" s="364"/>
      <c r="B25" s="350" t="s">
        <v>1193</v>
      </c>
      <c r="C25" s="350"/>
      <c r="D25" s="350"/>
      <c r="E25" s="351" t="s">
        <v>1429</v>
      </c>
      <c r="F25" s="351"/>
      <c r="G25" s="352"/>
      <c r="H25" s="352"/>
      <c r="I25" s="321"/>
      <c r="J25" s="321"/>
      <c r="K25" s="321"/>
      <c r="L25" s="321"/>
      <c r="M25" s="321"/>
      <c r="N25" s="321"/>
      <c r="O25" s="365"/>
    </row>
    <row r="26" spans="1:15" ht="30" customHeight="1">
      <c r="A26" s="364"/>
      <c r="B26" s="350" t="s">
        <v>1194</v>
      </c>
      <c r="C26" s="350"/>
      <c r="D26" s="350"/>
      <c r="E26" s="351" t="s">
        <v>1429</v>
      </c>
      <c r="F26" s="351"/>
      <c r="G26" s="352"/>
      <c r="H26" s="352"/>
      <c r="I26" s="321"/>
      <c r="J26" s="321"/>
      <c r="K26" s="321"/>
      <c r="L26" s="321"/>
      <c r="M26" s="321"/>
      <c r="N26" s="321"/>
      <c r="O26" s="365"/>
    </row>
    <row r="27" spans="1:15" ht="30" customHeight="1">
      <c r="A27" s="364"/>
      <c r="B27" s="350" t="s">
        <v>1195</v>
      </c>
      <c r="C27" s="350"/>
      <c r="D27" s="350"/>
      <c r="E27" s="351" t="s">
        <v>1429</v>
      </c>
      <c r="F27" s="351"/>
      <c r="G27" s="352"/>
      <c r="H27" s="352"/>
      <c r="I27" s="321"/>
      <c r="J27" s="321"/>
      <c r="K27" s="321"/>
      <c r="L27" s="321"/>
      <c r="M27" s="321"/>
      <c r="N27" s="321"/>
      <c r="O27" s="365"/>
    </row>
    <row r="28" spans="1:15" ht="30" customHeight="1">
      <c r="A28" s="364"/>
      <c r="B28" s="350" t="s">
        <v>1196</v>
      </c>
      <c r="C28" s="350"/>
      <c r="D28" s="350"/>
      <c r="E28" s="351" t="s">
        <v>1429</v>
      </c>
      <c r="F28" s="351"/>
      <c r="G28" s="352"/>
      <c r="H28" s="352"/>
      <c r="I28" s="321"/>
      <c r="J28" s="321"/>
      <c r="K28" s="321"/>
      <c r="L28" s="321"/>
      <c r="M28" s="321"/>
      <c r="N28" s="321"/>
      <c r="O28" s="365"/>
    </row>
    <row r="29" spans="1:15" ht="30" customHeight="1">
      <c r="A29" s="364"/>
      <c r="B29" s="350" t="s">
        <v>525</v>
      </c>
      <c r="C29" s="350"/>
      <c r="D29" s="350"/>
      <c r="E29" s="281" t="s">
        <v>1429</v>
      </c>
      <c r="F29" s="311"/>
      <c r="G29" s="360"/>
      <c r="H29" s="360"/>
      <c r="I29" s="321"/>
      <c r="J29" s="321"/>
      <c r="K29" s="321"/>
      <c r="L29" s="321"/>
      <c r="M29" s="321"/>
      <c r="N29" s="321"/>
      <c r="O29" s="365"/>
    </row>
    <row r="30" spans="1:15" ht="30" customHeight="1">
      <c r="A30" s="364"/>
      <c r="B30" s="350" t="s">
        <v>526</v>
      </c>
      <c r="C30" s="350"/>
      <c r="D30" s="350"/>
      <c r="E30" s="351" t="s">
        <v>1429</v>
      </c>
      <c r="F30" s="351"/>
      <c r="G30" s="361"/>
      <c r="H30" s="360"/>
      <c r="I30" s="321"/>
      <c r="J30" s="321"/>
      <c r="K30" s="321"/>
      <c r="L30" s="321"/>
      <c r="M30" s="321"/>
      <c r="N30" s="321"/>
      <c r="O30" s="365"/>
    </row>
    <row r="31" spans="1:15" ht="30" customHeight="1">
      <c r="A31" s="364"/>
      <c r="B31" s="350" t="s">
        <v>527</v>
      </c>
      <c r="C31" s="350"/>
      <c r="D31" s="350"/>
      <c r="E31" s="281" t="s">
        <v>1429</v>
      </c>
      <c r="F31" s="311"/>
      <c r="G31" s="360"/>
      <c r="H31" s="360"/>
      <c r="I31" s="321"/>
      <c r="J31" s="321"/>
      <c r="K31" s="321"/>
      <c r="L31" s="321"/>
      <c r="M31" s="321"/>
      <c r="N31" s="321"/>
      <c r="O31" s="365"/>
    </row>
    <row r="32" spans="1:15" ht="30" customHeight="1">
      <c r="A32" s="364"/>
      <c r="B32" s="350" t="s">
        <v>528</v>
      </c>
      <c r="C32" s="350"/>
      <c r="D32" s="350"/>
      <c r="E32" s="351" t="s">
        <v>1429</v>
      </c>
      <c r="F32" s="351"/>
      <c r="G32" s="361"/>
      <c r="H32" s="360"/>
      <c r="I32" s="321"/>
      <c r="J32" s="321"/>
      <c r="K32" s="321"/>
      <c r="L32" s="321"/>
      <c r="M32" s="321"/>
      <c r="N32" s="321"/>
      <c r="O32" s="365"/>
    </row>
    <row r="33" spans="1:15" ht="30" customHeight="1">
      <c r="A33" s="364"/>
      <c r="B33" s="350" t="s">
        <v>529</v>
      </c>
      <c r="C33" s="350"/>
      <c r="D33" s="350"/>
      <c r="E33" s="281" t="s">
        <v>1429</v>
      </c>
      <c r="F33" s="311"/>
      <c r="G33" s="360"/>
      <c r="H33" s="360"/>
      <c r="I33" s="321"/>
      <c r="J33" s="321"/>
      <c r="K33" s="321"/>
      <c r="L33" s="321"/>
      <c r="M33" s="321"/>
      <c r="N33" s="321"/>
      <c r="O33" s="365"/>
    </row>
    <row r="34" spans="1:15" ht="30" customHeight="1">
      <c r="A34" s="364"/>
      <c r="B34" s="350" t="s">
        <v>530</v>
      </c>
      <c r="C34" s="350"/>
      <c r="D34" s="350"/>
      <c r="E34" s="351" t="s">
        <v>1429</v>
      </c>
      <c r="F34" s="351"/>
      <c r="G34" s="361"/>
      <c r="H34" s="360"/>
      <c r="I34" s="321"/>
      <c r="J34" s="321"/>
      <c r="K34" s="321"/>
      <c r="L34" s="321"/>
      <c r="M34" s="321"/>
      <c r="N34" s="321"/>
      <c r="O34" s="365"/>
    </row>
    <row r="35" spans="1:15" ht="30" customHeight="1">
      <c r="A35" s="364"/>
      <c r="B35" s="350" t="s">
        <v>531</v>
      </c>
      <c r="C35" s="350"/>
      <c r="D35" s="350"/>
      <c r="E35" s="281" t="s">
        <v>1429</v>
      </c>
      <c r="F35" s="311"/>
      <c r="G35" s="360"/>
      <c r="H35" s="360"/>
      <c r="I35" s="321"/>
      <c r="J35" s="321"/>
      <c r="K35" s="321"/>
      <c r="L35" s="321"/>
      <c r="M35" s="321"/>
      <c r="N35" s="321"/>
      <c r="O35" s="365"/>
    </row>
    <row r="36" spans="1:15" ht="30" customHeight="1">
      <c r="A36" s="364"/>
      <c r="B36" s="350" t="s">
        <v>532</v>
      </c>
      <c r="C36" s="350"/>
      <c r="D36" s="350"/>
      <c r="E36" s="351" t="s">
        <v>1429</v>
      </c>
      <c r="F36" s="351"/>
      <c r="G36" s="362"/>
      <c r="H36" s="360"/>
      <c r="I36" s="321"/>
      <c r="J36" s="321"/>
      <c r="K36" s="321"/>
      <c r="L36" s="321"/>
      <c r="M36" s="321"/>
      <c r="N36" s="321"/>
      <c r="O36" s="365"/>
    </row>
    <row r="37" spans="1:15" ht="30" customHeight="1">
      <c r="A37" s="364"/>
      <c r="B37" s="350" t="s">
        <v>533</v>
      </c>
      <c r="C37" s="350"/>
      <c r="D37" s="350"/>
      <c r="E37" s="281" t="s">
        <v>1429</v>
      </c>
      <c r="F37" s="311"/>
      <c r="G37" s="360"/>
      <c r="H37" s="360"/>
      <c r="I37" s="321"/>
      <c r="J37" s="321"/>
      <c r="K37" s="321"/>
      <c r="L37" s="321"/>
      <c r="M37" s="321"/>
      <c r="N37" s="321"/>
      <c r="O37" s="365"/>
    </row>
    <row r="38" spans="1:15" ht="30" customHeight="1">
      <c r="A38" s="364"/>
      <c r="B38" s="350" t="s">
        <v>534</v>
      </c>
      <c r="C38" s="350"/>
      <c r="D38" s="350"/>
      <c r="E38" s="351" t="s">
        <v>1429</v>
      </c>
      <c r="F38" s="351"/>
      <c r="G38" s="362"/>
      <c r="H38" s="360"/>
      <c r="I38" s="321"/>
      <c r="J38" s="321"/>
      <c r="K38" s="321"/>
      <c r="L38" s="321"/>
      <c r="M38" s="321"/>
      <c r="N38" s="321"/>
      <c r="O38" s="365"/>
    </row>
    <row r="46" ht="12.75">
      <c r="A46" s="31"/>
    </row>
    <row r="47" ht="12.75">
      <c r="A47" s="31"/>
    </row>
    <row r="48" ht="12.75">
      <c r="A48" s="31"/>
    </row>
    <row r="49" ht="12.75">
      <c r="A49" s="31"/>
    </row>
    <row r="50" ht="12.75">
      <c r="A50" s="31"/>
    </row>
    <row r="51" ht="12.75">
      <c r="A51" s="31"/>
    </row>
    <row r="52" ht="12.75">
      <c r="A52" s="31"/>
    </row>
    <row r="53" ht="12.75">
      <c r="A53" s="31"/>
    </row>
    <row r="54" ht="12.75">
      <c r="A54" s="31"/>
    </row>
    <row r="55" ht="12.75">
      <c r="A55" s="31"/>
    </row>
    <row r="56" ht="12.75">
      <c r="A56" s="31"/>
    </row>
    <row r="57" ht="12.75">
      <c r="A57" s="31"/>
    </row>
    <row r="58" ht="12.75">
      <c r="A58" s="31"/>
    </row>
    <row r="59" ht="12.75">
      <c r="A59" s="31"/>
    </row>
    <row r="60" ht="12.75">
      <c r="A60" s="31"/>
    </row>
    <row r="61" ht="12.75">
      <c r="A61" s="31"/>
    </row>
    <row r="62" ht="12.75">
      <c r="A62" s="31"/>
    </row>
    <row r="63" ht="12.75">
      <c r="A63" s="31"/>
    </row>
    <row r="64" ht="12.75">
      <c r="A64" s="31"/>
    </row>
    <row r="65" ht="12.75">
      <c r="A65" s="31"/>
    </row>
    <row r="66" ht="12.75">
      <c r="A66" s="31"/>
    </row>
    <row r="67" ht="12.75">
      <c r="A67" s="31"/>
    </row>
    <row r="68" ht="12.75">
      <c r="A68" s="31"/>
    </row>
    <row r="69" ht="12.75">
      <c r="A69" s="31"/>
    </row>
    <row r="70" ht="12.75">
      <c r="A70" s="31"/>
    </row>
    <row r="71" ht="12.75">
      <c r="A71" s="31"/>
    </row>
    <row r="72" ht="12.75">
      <c r="A72" s="31"/>
    </row>
    <row r="73" ht="12.75">
      <c r="A73" s="31"/>
    </row>
    <row r="74" ht="12.75">
      <c r="A74" s="31"/>
    </row>
  </sheetData>
  <mergeCells count="124">
    <mergeCell ref="A9:A38"/>
    <mergeCell ref="I9:N38"/>
    <mergeCell ref="O9:O38"/>
    <mergeCell ref="B37:D37"/>
    <mergeCell ref="E37:F37"/>
    <mergeCell ref="G37:H37"/>
    <mergeCell ref="B38:D38"/>
    <mergeCell ref="E38:F38"/>
    <mergeCell ref="G38:H38"/>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G14:H14"/>
    <mergeCell ref="B19:D19"/>
    <mergeCell ref="E19:F19"/>
    <mergeCell ref="B15:D15"/>
    <mergeCell ref="E15:F15"/>
    <mergeCell ref="G15:H15"/>
    <mergeCell ref="B16:D16"/>
    <mergeCell ref="B17:D17"/>
    <mergeCell ref="E16:F16"/>
    <mergeCell ref="E17:F17"/>
    <mergeCell ref="G20:H20"/>
    <mergeCell ref="B11:D11"/>
    <mergeCell ref="E11:F11"/>
    <mergeCell ref="G11:H11"/>
    <mergeCell ref="G19:H19"/>
    <mergeCell ref="B12:D12"/>
    <mergeCell ref="E12:F12"/>
    <mergeCell ref="G12:H12"/>
    <mergeCell ref="B14:D14"/>
    <mergeCell ref="E14:F14"/>
    <mergeCell ref="B13:D13"/>
    <mergeCell ref="E13:F13"/>
    <mergeCell ref="G13:H13"/>
    <mergeCell ref="B9:D9"/>
    <mergeCell ref="E9:F9"/>
    <mergeCell ref="G9:H9"/>
    <mergeCell ref="B10:D10"/>
    <mergeCell ref="E10:F10"/>
    <mergeCell ref="G10:H10"/>
    <mergeCell ref="I2:N2"/>
    <mergeCell ref="B1:P1"/>
    <mergeCell ref="B7:D7"/>
    <mergeCell ref="E7:F7"/>
    <mergeCell ref="G7:H7"/>
    <mergeCell ref="I7:N7"/>
    <mergeCell ref="B3:D3"/>
    <mergeCell ref="E3:F3"/>
    <mergeCell ref="G3:H3"/>
    <mergeCell ref="I3:N3"/>
    <mergeCell ref="A1:A2"/>
    <mergeCell ref="B2:D2"/>
    <mergeCell ref="E2:F2"/>
    <mergeCell ref="G2:H2"/>
    <mergeCell ref="B4:D4"/>
    <mergeCell ref="E4:F4"/>
    <mergeCell ref="G4:H4"/>
    <mergeCell ref="I4:N4"/>
    <mergeCell ref="E8:F8"/>
    <mergeCell ref="G8:H8"/>
    <mergeCell ref="I8:N8"/>
    <mergeCell ref="B5:D5"/>
    <mergeCell ref="E5:F5"/>
    <mergeCell ref="G5:H5"/>
    <mergeCell ref="I5:N5"/>
    <mergeCell ref="P9:P20"/>
    <mergeCell ref="B6:D6"/>
    <mergeCell ref="E6:F6"/>
    <mergeCell ref="G6:H6"/>
    <mergeCell ref="I6:N6"/>
    <mergeCell ref="B8:D8"/>
    <mergeCell ref="B18:D18"/>
    <mergeCell ref="G16:H16"/>
    <mergeCell ref="G17:H17"/>
    <mergeCell ref="G18:H18"/>
    <mergeCell ref="E18:F18"/>
    <mergeCell ref="B21:D21"/>
    <mergeCell ref="E21:F21"/>
    <mergeCell ref="B20:D20"/>
    <mergeCell ref="E20:F20"/>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s>
  <conditionalFormatting sqref="G8:H8">
    <cfRule type="cellIs" priority="1" dxfId="0" operator="equal" stopIfTrue="1">
      <formula>""</formula>
    </cfRule>
  </conditionalFormatting>
  <conditionalFormatting sqref="G4:H4">
    <cfRule type="cellIs" priority="2" dxfId="0" operator="equal" stopIfTrue="1">
      <formula>""</formula>
    </cfRule>
  </conditionalFormatting>
  <dataValidations count="4">
    <dataValidation type="list" allowBlank="1" showInputMessage="1" showErrorMessage="1" sqref="G5:H5">
      <formula1>$Q$5:$R$5</formula1>
    </dataValidation>
    <dataValidation type="list" allowBlank="1" showInputMessage="1" showErrorMessage="1" sqref="G6:H6">
      <formula1>$Q$6:$R$6</formula1>
    </dataValidation>
    <dataValidation type="list" allowBlank="1" showInputMessage="1" showErrorMessage="1" sqref="G7:H7">
      <formula1>$Q$7:$R$7</formula1>
    </dataValidation>
    <dataValidation type="list" allowBlank="1" showInputMessage="1" showErrorMessage="1" sqref="G3:H3">
      <formula1>$Q$3:$S$3</formula1>
    </dataValidation>
  </dataValidations>
  <printOptions/>
  <pageMargins left="0.75" right="0.75" top="1" bottom="1" header="0.5" footer="0.5"/>
  <pageSetup fitToHeight="23" fitToWidth="1" horizontalDpi="600" verticalDpi="600" orientation="portrait" scale="70" r:id="rId1"/>
  <headerFooter alignWithMargins="0">
    <oddFooter>&amp;CPage &amp;P of &amp;N</oddFooter>
  </headerFooter>
  <ignoredErrors>
    <ignoredError sqref="V9" formula="1"/>
  </ignoredErrors>
</worksheet>
</file>

<file path=xl/worksheets/sheet7.xml><?xml version="1.0" encoding="utf-8"?>
<worksheet xmlns="http://schemas.openxmlformats.org/spreadsheetml/2006/main" xmlns:r="http://schemas.openxmlformats.org/officeDocument/2006/relationships">
  <sheetPr codeName="Sheet8">
    <pageSetUpPr fitToPage="1"/>
  </sheetPr>
  <dimension ref="A1:AB34"/>
  <sheetViews>
    <sheetView showGridLines="0" zoomScale="70" zoomScaleNormal="70" workbookViewId="0" topLeftCell="A1">
      <pane xSplit="3" ySplit="2" topLeftCell="D3" activePane="bottomRight" state="frozen"/>
      <selection pane="topLeft" activeCell="I16" sqref="I16:N16"/>
      <selection pane="topRight" activeCell="D1" sqref="D1"/>
      <selection pane="bottomLeft" activeCell="I16" sqref="I16:N16"/>
      <selection pane="bottomRight" activeCell="E6" sqref="E6"/>
    </sheetView>
  </sheetViews>
  <sheetFormatPr defaultColWidth="9.140625" defaultRowHeight="12.75"/>
  <cols>
    <col min="2" max="2" width="30.7109375" style="0" customWidth="1"/>
    <col min="3" max="3" width="9.140625" style="24" customWidth="1"/>
    <col min="4" max="5" width="28.7109375" style="0" customWidth="1"/>
    <col min="6" max="6" width="35.8515625" style="0" bestFit="1" customWidth="1"/>
    <col min="7" max="13" width="28.7109375" style="0" customWidth="1"/>
    <col min="19" max="20" width="42.7109375" style="0" customWidth="1"/>
    <col min="21" max="22" width="9.140625" style="0" hidden="1" customWidth="1"/>
    <col min="23" max="28" width="35.57421875" style="0" hidden="1" customWidth="1"/>
  </cols>
  <sheetData>
    <row r="1" spans="1:20" ht="18">
      <c r="A1" s="366" t="s">
        <v>700</v>
      </c>
      <c r="B1" s="368" t="s">
        <v>1583</v>
      </c>
      <c r="C1" s="369"/>
      <c r="D1" s="369"/>
      <c r="E1" s="369"/>
      <c r="F1" s="369"/>
      <c r="G1" s="369"/>
      <c r="H1" s="369"/>
      <c r="I1" s="369"/>
      <c r="J1" s="369"/>
      <c r="K1" s="369"/>
      <c r="L1" s="369"/>
      <c r="M1" s="369"/>
      <c r="N1" s="369"/>
      <c r="O1" s="369"/>
      <c r="P1" s="369"/>
      <c r="Q1" s="369"/>
      <c r="R1" s="369"/>
      <c r="S1" s="369"/>
      <c r="T1" s="69"/>
    </row>
    <row r="2" spans="1:28" ht="13.5" customHeight="1">
      <c r="A2" s="367"/>
      <c r="B2" s="93" t="s">
        <v>314</v>
      </c>
      <c r="C2" s="25" t="s">
        <v>1584</v>
      </c>
      <c r="D2" s="93" t="s">
        <v>1585</v>
      </c>
      <c r="E2" s="93" t="s">
        <v>1586</v>
      </c>
      <c r="F2" s="93" t="s">
        <v>1587</v>
      </c>
      <c r="G2" s="93" t="s">
        <v>1588</v>
      </c>
      <c r="H2" s="93" t="s">
        <v>1488</v>
      </c>
      <c r="I2" s="93" t="s">
        <v>1489</v>
      </c>
      <c r="J2" s="93" t="s">
        <v>968</v>
      </c>
      <c r="K2" s="93" t="s">
        <v>969</v>
      </c>
      <c r="L2" s="93" t="s">
        <v>970</v>
      </c>
      <c r="M2" s="93" t="s">
        <v>971</v>
      </c>
      <c r="N2" s="321" t="s">
        <v>317</v>
      </c>
      <c r="O2" s="321"/>
      <c r="P2" s="321"/>
      <c r="Q2" s="321"/>
      <c r="R2" s="321"/>
      <c r="S2" s="321"/>
      <c r="T2" s="63" t="s">
        <v>1333</v>
      </c>
      <c r="W2" t="str">
        <f aca="true" t="shared" si="0" ref="W2:AB2">IF(D$5&lt;&gt;"",CONCATENATE(D2),"")</f>
        <v>Session #1</v>
      </c>
      <c r="X2" t="str">
        <f t="shared" si="0"/>
        <v>Session #2</v>
      </c>
      <c r="Y2" t="str">
        <f t="shared" si="0"/>
        <v>Session #3</v>
      </c>
      <c r="Z2">
        <f t="shared" si="0"/>
      </c>
      <c r="AA2">
        <f t="shared" si="0"/>
      </c>
      <c r="AB2">
        <f t="shared" si="0"/>
      </c>
    </row>
    <row r="3" spans="1:28" ht="38.25" customHeight="1">
      <c r="A3" s="1">
        <v>7</v>
      </c>
      <c r="B3" s="194" t="s">
        <v>1486</v>
      </c>
      <c r="C3" s="33" t="s">
        <v>1589</v>
      </c>
      <c r="D3" s="92" t="s">
        <v>1091</v>
      </c>
      <c r="E3" s="92" t="s">
        <v>1094</v>
      </c>
      <c r="F3" s="92" t="s">
        <v>1094</v>
      </c>
      <c r="G3" s="92"/>
      <c r="H3" s="92"/>
      <c r="I3" s="92"/>
      <c r="J3" s="92"/>
      <c r="K3" s="92"/>
      <c r="L3" s="92"/>
      <c r="M3" s="92"/>
      <c r="N3" s="312" t="s">
        <v>572</v>
      </c>
      <c r="O3" s="312"/>
      <c r="P3" s="312"/>
      <c r="Q3" s="312"/>
      <c r="R3" s="312"/>
      <c r="S3" s="312"/>
      <c r="T3" s="70" t="s">
        <v>573</v>
      </c>
      <c r="W3" t="str">
        <f aca="true" t="shared" si="1" ref="W3:AA7">IF(D$5&lt;&gt;"",CONCATENATE($B3,": ",D3),"")</f>
        <v>Selected as default?: Yes</v>
      </c>
      <c r="X3" t="str">
        <f t="shared" si="1"/>
        <v>Selected as default?: No</v>
      </c>
      <c r="Y3" t="str">
        <f t="shared" si="1"/>
        <v>Selected as default?: No</v>
      </c>
      <c r="Z3">
        <f t="shared" si="1"/>
      </c>
      <c r="AA3">
        <f t="shared" si="1"/>
      </c>
      <c r="AB3">
        <f aca="true" t="shared" si="2" ref="AB3:AB18">IF(I$5&lt;&gt;"",CONCATENATE($B3,": ",I3),"")</f>
      </c>
    </row>
    <row r="4" spans="1:28" ht="38.25" customHeight="1">
      <c r="A4" s="1">
        <f>A3+0.01</f>
        <v>7.01</v>
      </c>
      <c r="B4" s="194" t="s">
        <v>1590</v>
      </c>
      <c r="C4" s="33" t="s">
        <v>1591</v>
      </c>
      <c r="D4" s="92" t="s">
        <v>1591</v>
      </c>
      <c r="E4" s="92" t="s">
        <v>1591</v>
      </c>
      <c r="F4" s="92" t="s">
        <v>1591</v>
      </c>
      <c r="G4" s="92"/>
      <c r="H4" s="92"/>
      <c r="I4" s="92"/>
      <c r="J4" s="92"/>
      <c r="K4" s="92"/>
      <c r="L4" s="92"/>
      <c r="M4" s="92"/>
      <c r="N4" s="312" t="s">
        <v>306</v>
      </c>
      <c r="O4" s="312"/>
      <c r="P4" s="312"/>
      <c r="Q4" s="312"/>
      <c r="R4" s="312"/>
      <c r="S4" s="312"/>
      <c r="T4" s="372" t="s">
        <v>1426</v>
      </c>
      <c r="W4" t="str">
        <f t="shared" si="1"/>
        <v>Access: RW</v>
      </c>
      <c r="X4" t="str">
        <f t="shared" si="1"/>
        <v>Access: RW</v>
      </c>
      <c r="Y4" t="str">
        <f t="shared" si="1"/>
        <v>Access: RW</v>
      </c>
      <c r="Z4">
        <f t="shared" si="1"/>
      </c>
      <c r="AA4">
        <f t="shared" si="1"/>
      </c>
      <c r="AB4">
        <f t="shared" si="2"/>
      </c>
    </row>
    <row r="5" spans="1:28" ht="38.25" customHeight="1">
      <c r="A5" s="1">
        <f aca="true" t="shared" si="3" ref="A5:A30">A4+0.01</f>
        <v>7.02</v>
      </c>
      <c r="B5" s="194" t="s">
        <v>1490</v>
      </c>
      <c r="C5" s="33" t="s">
        <v>1592</v>
      </c>
      <c r="D5" s="92" t="s">
        <v>444</v>
      </c>
      <c r="E5" s="92" t="s">
        <v>445</v>
      </c>
      <c r="F5" s="92" t="s">
        <v>1499</v>
      </c>
      <c r="G5" s="92"/>
      <c r="H5" s="92"/>
      <c r="I5" s="92"/>
      <c r="J5" s="92"/>
      <c r="K5" s="92"/>
      <c r="L5" s="92"/>
      <c r="M5" s="92"/>
      <c r="N5" s="312" t="s">
        <v>0</v>
      </c>
      <c r="O5" s="312"/>
      <c r="P5" s="312"/>
      <c r="Q5" s="312"/>
      <c r="R5" s="312"/>
      <c r="S5" s="312"/>
      <c r="T5" s="373"/>
      <c r="W5" t="str">
        <f t="shared" si="1"/>
        <v>User Session Name: Emocion</v>
      </c>
      <c r="X5" t="str">
        <f t="shared" si="1"/>
        <v>User Session Name: Internet Movil</v>
      </c>
      <c r="Y5" t="str">
        <f t="shared" si="1"/>
        <v>User Session Name: MMS</v>
      </c>
      <c r="Z5">
        <f t="shared" si="1"/>
      </c>
      <c r="AA5">
        <f t="shared" si="1"/>
      </c>
      <c r="AB5">
        <f t="shared" si="2"/>
      </c>
    </row>
    <row r="6" spans="1:28" ht="38.25" customHeight="1">
      <c r="A6" s="1">
        <f t="shared" si="3"/>
        <v>7.029999999999999</v>
      </c>
      <c r="B6" s="194" t="s">
        <v>1</v>
      </c>
      <c r="C6" s="33" t="s">
        <v>1592</v>
      </c>
      <c r="D6" s="226" t="s">
        <v>446</v>
      </c>
      <c r="E6" s="92"/>
      <c r="F6" s="226" t="s">
        <v>428</v>
      </c>
      <c r="G6" s="215"/>
      <c r="H6" s="215"/>
      <c r="I6" s="215"/>
      <c r="J6" s="215"/>
      <c r="K6" s="215"/>
      <c r="L6" s="215"/>
      <c r="M6" s="215"/>
      <c r="N6" s="312" t="s">
        <v>2</v>
      </c>
      <c r="O6" s="312"/>
      <c r="P6" s="312"/>
      <c r="Q6" s="312"/>
      <c r="R6" s="312"/>
      <c r="S6" s="312"/>
      <c r="T6" s="373"/>
      <c r="W6" t="str">
        <f t="shared" si="1"/>
        <v>Home Page: http://interactivo.telcel.net.ve/</v>
      </c>
      <c r="X6" t="str">
        <f t="shared" si="1"/>
        <v>Home Page: </v>
      </c>
      <c r="Y6" t="str">
        <f t="shared" si="1"/>
        <v>Home Page: http://mms.movistar.com.ve:8088/mms</v>
      </c>
      <c r="Z6">
        <f t="shared" si="1"/>
      </c>
      <c r="AA6">
        <f t="shared" si="1"/>
      </c>
      <c r="AB6">
        <f t="shared" si="2"/>
      </c>
    </row>
    <row r="7" spans="1:28" ht="38.25" customHeight="1">
      <c r="A7" s="1">
        <f t="shared" si="3"/>
        <v>7.039999999999999</v>
      </c>
      <c r="B7" s="194" t="s">
        <v>3</v>
      </c>
      <c r="C7" s="33" t="s">
        <v>1592</v>
      </c>
      <c r="D7" s="92" t="s">
        <v>447</v>
      </c>
      <c r="E7" s="92"/>
      <c r="F7" s="92" t="s">
        <v>447</v>
      </c>
      <c r="G7" s="92"/>
      <c r="H7" s="92"/>
      <c r="I7" s="92"/>
      <c r="J7" s="92"/>
      <c r="K7" s="92"/>
      <c r="L7" s="92"/>
      <c r="M7" s="92"/>
      <c r="N7" s="312" t="s">
        <v>4</v>
      </c>
      <c r="O7" s="312"/>
      <c r="P7" s="312"/>
      <c r="Q7" s="312"/>
      <c r="R7" s="312"/>
      <c r="S7" s="312"/>
      <c r="T7" s="373"/>
      <c r="W7" t="str">
        <f t="shared" si="1"/>
        <v>Primary IP address: 200.035.064.073</v>
      </c>
      <c r="X7" t="str">
        <f t="shared" si="1"/>
        <v>Primary IP address: </v>
      </c>
      <c r="Y7" t="str">
        <f t="shared" si="1"/>
        <v>Primary IP address: 200.035.064.073</v>
      </c>
      <c r="Z7">
        <f t="shared" si="1"/>
      </c>
      <c r="AA7">
        <f t="shared" si="1"/>
      </c>
      <c r="AB7">
        <f t="shared" si="2"/>
      </c>
    </row>
    <row r="8" spans="1:28" ht="38.25" customHeight="1">
      <c r="A8" s="1">
        <f t="shared" si="3"/>
        <v>7.049999999999999</v>
      </c>
      <c r="B8" s="194" t="s">
        <v>5</v>
      </c>
      <c r="C8" s="33" t="s">
        <v>1592</v>
      </c>
      <c r="D8" s="92">
        <v>9001</v>
      </c>
      <c r="E8" s="92"/>
      <c r="F8" s="92">
        <v>9001</v>
      </c>
      <c r="G8" s="92"/>
      <c r="H8" s="92"/>
      <c r="I8" s="92"/>
      <c r="J8" s="92"/>
      <c r="K8" s="92"/>
      <c r="L8" s="92"/>
      <c r="M8" s="92"/>
      <c r="N8" s="312" t="s">
        <v>6</v>
      </c>
      <c r="O8" s="312"/>
      <c r="P8" s="312"/>
      <c r="Q8" s="312"/>
      <c r="R8" s="312"/>
      <c r="S8" s="312"/>
      <c r="T8" s="373"/>
      <c r="W8" t="str">
        <f aca="true" t="shared" si="4" ref="W8:AB8">IF(D$5&lt;&gt;"",IF(D8&lt;&gt;0,CONCATENATE($B8,": ",D8),CONCATENATE($B8,": 9201")),"")</f>
        <v>Primary IP Port: 9001</v>
      </c>
      <c r="X8" t="str">
        <f t="shared" si="4"/>
        <v>Primary IP Port: 9201</v>
      </c>
      <c r="Y8" t="str">
        <f t="shared" si="4"/>
        <v>Primary IP Port: 9001</v>
      </c>
      <c r="Z8">
        <f t="shared" si="4"/>
      </c>
      <c r="AA8">
        <f t="shared" si="4"/>
      </c>
      <c r="AB8">
        <f t="shared" si="4"/>
      </c>
    </row>
    <row r="9" spans="1:28" ht="38.25" customHeight="1">
      <c r="A9" s="1">
        <f t="shared" si="3"/>
        <v>7.059999999999999</v>
      </c>
      <c r="B9" s="194" t="s">
        <v>7</v>
      </c>
      <c r="C9" s="33" t="s">
        <v>1592</v>
      </c>
      <c r="D9" s="92"/>
      <c r="E9" s="92"/>
      <c r="F9" s="92"/>
      <c r="G9" s="92"/>
      <c r="H9" s="92"/>
      <c r="I9" s="92"/>
      <c r="J9" s="33"/>
      <c r="K9" s="33"/>
      <c r="L9" s="33"/>
      <c r="M9" s="33"/>
      <c r="N9" s="313"/>
      <c r="O9" s="370"/>
      <c r="P9" s="370"/>
      <c r="Q9" s="370"/>
      <c r="R9" s="370"/>
      <c r="S9" s="371"/>
      <c r="T9" s="373"/>
      <c r="W9" t="str">
        <f>IF(D$5&lt;&gt;"",CONCATENATE($B9,": ",D9),"")</f>
        <v>Domain 1: </v>
      </c>
      <c r="X9" t="str">
        <f>IF(E$5&lt;&gt;"",CONCATENATE($B9,": ",E9),"")</f>
        <v>Domain 1: </v>
      </c>
      <c r="Y9" t="str">
        <f>IF(F$5&lt;&gt;"",CONCATENATE($B9,": ",F9),"")</f>
        <v>Domain 1: </v>
      </c>
      <c r="Z9">
        <f>IF(G$5&lt;&gt;"",CONCATENATE($B9,": ",G9),"")</f>
      </c>
      <c r="AA9">
        <f>IF(H$5&lt;&gt;"",CONCATENATE($B9,": ",H9),"")</f>
      </c>
      <c r="AB9">
        <f t="shared" si="2"/>
      </c>
    </row>
    <row r="10" spans="1:28" ht="38.25" customHeight="1">
      <c r="A10" s="1">
        <f t="shared" si="3"/>
        <v>7.0699999999999985</v>
      </c>
      <c r="B10" s="194" t="s">
        <v>8</v>
      </c>
      <c r="C10" s="33" t="s">
        <v>1592</v>
      </c>
      <c r="D10" s="92" t="s">
        <v>448</v>
      </c>
      <c r="E10" s="92" t="s">
        <v>448</v>
      </c>
      <c r="F10" s="92" t="s">
        <v>448</v>
      </c>
      <c r="G10" s="92"/>
      <c r="H10" s="92"/>
      <c r="I10" s="92"/>
      <c r="J10" s="33"/>
      <c r="K10" s="33"/>
      <c r="L10" s="33"/>
      <c r="M10" s="33"/>
      <c r="N10" s="313" t="s">
        <v>9</v>
      </c>
      <c r="O10" s="370"/>
      <c r="P10" s="370"/>
      <c r="Q10" s="370"/>
      <c r="R10" s="370"/>
      <c r="S10" s="371"/>
      <c r="T10" s="373"/>
      <c r="W10" t="str">
        <f aca="true" t="shared" si="5" ref="W10:AB10">IF(D$5&lt;&gt;"",IF(D10&lt;&gt;0,CONCATENATE($B10,": ",D10),CONCATENATE($B10,": WAP")),"")</f>
        <v>Service Type 1: HTTP</v>
      </c>
      <c r="X10" t="str">
        <f t="shared" si="5"/>
        <v>Service Type 1: HTTP</v>
      </c>
      <c r="Y10" t="str">
        <f t="shared" si="5"/>
        <v>Service Type 1: HTTP</v>
      </c>
      <c r="Z10">
        <f t="shared" si="5"/>
      </c>
      <c r="AA10">
        <f t="shared" si="5"/>
      </c>
      <c r="AB10">
        <f t="shared" si="5"/>
      </c>
    </row>
    <row r="11" spans="1:28" ht="38.25" customHeight="1">
      <c r="A11" s="1">
        <f t="shared" si="3"/>
        <v>7.079999999999998</v>
      </c>
      <c r="B11" s="195" t="s">
        <v>10</v>
      </c>
      <c r="C11" s="33" t="s">
        <v>1592</v>
      </c>
      <c r="D11" s="92"/>
      <c r="E11" s="92"/>
      <c r="F11" s="92"/>
      <c r="G11" s="92"/>
      <c r="H11" s="92"/>
      <c r="I11" s="92"/>
      <c r="J11" s="33"/>
      <c r="K11" s="33"/>
      <c r="L11" s="33"/>
      <c r="M11" s="33"/>
      <c r="N11" s="313" t="s">
        <v>11</v>
      </c>
      <c r="O11" s="370"/>
      <c r="P11" s="370"/>
      <c r="Q11" s="370"/>
      <c r="R11" s="370"/>
      <c r="S11" s="371"/>
      <c r="T11" s="373"/>
      <c r="W11" t="str">
        <f>IF(D$5&lt;&gt;"",CONCATENATE($B11,": ",D11),"")</f>
        <v>Secondary IP address: </v>
      </c>
      <c r="X11" t="str">
        <f>IF(E$5&lt;&gt;"",CONCATENATE($B11,": ",E11),"")</f>
        <v>Secondary IP address: </v>
      </c>
      <c r="Y11" t="str">
        <f>IF(F$5&lt;&gt;"",CONCATENATE($B11,": ",F11),"")</f>
        <v>Secondary IP address: </v>
      </c>
      <c r="Z11">
        <f>IF(G$5&lt;&gt;"",CONCATENATE($B11,": ",G11),"")</f>
      </c>
      <c r="AA11">
        <f>IF(H$5&lt;&gt;"",CONCATENATE($B11,": ",H11),"")</f>
      </c>
      <c r="AB11">
        <f t="shared" si="2"/>
      </c>
    </row>
    <row r="12" spans="1:28" ht="38.25" customHeight="1">
      <c r="A12" s="1">
        <f t="shared" si="3"/>
        <v>7.089999999999998</v>
      </c>
      <c r="B12" s="195" t="s">
        <v>12</v>
      </c>
      <c r="C12" s="33" t="s">
        <v>1592</v>
      </c>
      <c r="D12" s="92">
        <v>9001</v>
      </c>
      <c r="E12" s="92"/>
      <c r="F12" s="92">
        <v>9001</v>
      </c>
      <c r="G12" s="92"/>
      <c r="H12" s="92"/>
      <c r="I12" s="92"/>
      <c r="J12" s="33"/>
      <c r="K12" s="33"/>
      <c r="L12" s="33"/>
      <c r="M12" s="33"/>
      <c r="N12" s="313" t="s">
        <v>1338</v>
      </c>
      <c r="O12" s="370"/>
      <c r="P12" s="370"/>
      <c r="Q12" s="370"/>
      <c r="R12" s="370"/>
      <c r="S12" s="371"/>
      <c r="T12" s="373"/>
      <c r="W12" t="str">
        <f aca="true" t="shared" si="6" ref="W12:AB12">IF(D$5&lt;&gt;"",IF(D12&lt;&gt;0,CONCATENATE($B12,": ",D12),CONCATENATE($B12,": 9201")),"")</f>
        <v>Secondary IP Port: 9001</v>
      </c>
      <c r="X12" t="str">
        <f t="shared" si="6"/>
        <v>Secondary IP Port: 9201</v>
      </c>
      <c r="Y12" t="str">
        <f t="shared" si="6"/>
        <v>Secondary IP Port: 9001</v>
      </c>
      <c r="Z12">
        <f t="shared" si="6"/>
      </c>
      <c r="AA12">
        <f t="shared" si="6"/>
      </c>
      <c r="AB12">
        <f t="shared" si="6"/>
      </c>
    </row>
    <row r="13" spans="1:28" ht="38.25" customHeight="1">
      <c r="A13" s="1">
        <f t="shared" si="3"/>
        <v>7.099999999999998</v>
      </c>
      <c r="B13" s="194" t="s">
        <v>1339</v>
      </c>
      <c r="C13" s="33" t="s">
        <v>1592</v>
      </c>
      <c r="D13" s="92"/>
      <c r="E13" s="92"/>
      <c r="F13" s="92"/>
      <c r="G13" s="92"/>
      <c r="H13" s="92"/>
      <c r="I13" s="92"/>
      <c r="J13" s="33"/>
      <c r="K13" s="33"/>
      <c r="L13" s="33"/>
      <c r="M13" s="33"/>
      <c r="N13" s="313"/>
      <c r="O13" s="370"/>
      <c r="P13" s="370"/>
      <c r="Q13" s="370"/>
      <c r="R13" s="370"/>
      <c r="S13" s="371"/>
      <c r="T13" s="373"/>
      <c r="W13" t="str">
        <f>IF(D$5&lt;&gt;"",CONCATENATE($B13,": ",D13),"")</f>
        <v>Domain 2: </v>
      </c>
      <c r="X13" t="str">
        <f>IF(E$5&lt;&gt;"",CONCATENATE($B13,": ",E13),"")</f>
        <v>Domain 2: </v>
      </c>
      <c r="Y13" t="str">
        <f>IF(F$5&lt;&gt;"",CONCATENATE($B13,": ",F13),"")</f>
        <v>Domain 2: </v>
      </c>
      <c r="Z13">
        <f>IF(G$5&lt;&gt;"",CONCATENATE($B13,": ",G13),"")</f>
      </c>
      <c r="AA13">
        <f>IF(H$5&lt;&gt;"",CONCATENATE($B13,": ",H13),"")</f>
      </c>
      <c r="AB13">
        <f t="shared" si="2"/>
      </c>
    </row>
    <row r="14" spans="1:28" ht="38.25" customHeight="1">
      <c r="A14" s="1">
        <f t="shared" si="3"/>
        <v>7.109999999999998</v>
      </c>
      <c r="B14" s="194" t="s">
        <v>1340</v>
      </c>
      <c r="C14" s="33" t="s">
        <v>1592</v>
      </c>
      <c r="D14" s="92" t="s">
        <v>449</v>
      </c>
      <c r="E14" s="92" t="s">
        <v>449</v>
      </c>
      <c r="F14" s="92" t="s">
        <v>449</v>
      </c>
      <c r="G14" s="92"/>
      <c r="H14" s="92"/>
      <c r="I14" s="92"/>
      <c r="J14" s="33"/>
      <c r="K14" s="33"/>
      <c r="L14" s="33"/>
      <c r="M14" s="33"/>
      <c r="N14" s="313" t="s">
        <v>9</v>
      </c>
      <c r="O14" s="370"/>
      <c r="P14" s="370"/>
      <c r="Q14" s="370"/>
      <c r="R14" s="370"/>
      <c r="S14" s="371"/>
      <c r="T14" s="373"/>
      <c r="W14" t="str">
        <f aca="true" t="shared" si="7" ref="W14:AB14">IF(D$5&lt;&gt;"",IF(D14&lt;&gt;0,CONCATENATE($B14,": ",D14),CONCATENATE($B14,": WAP")),"")</f>
        <v>Service Type 2: WAP</v>
      </c>
      <c r="X14" t="str">
        <f t="shared" si="7"/>
        <v>Service Type 2: WAP</v>
      </c>
      <c r="Y14" t="str">
        <f t="shared" si="7"/>
        <v>Service Type 2: WAP</v>
      </c>
      <c r="Z14">
        <f t="shared" si="7"/>
      </c>
      <c r="AA14">
        <f t="shared" si="7"/>
      </c>
      <c r="AB14">
        <f t="shared" si="7"/>
      </c>
    </row>
    <row r="15" spans="1:28" ht="38.25" customHeight="1">
      <c r="A15" s="1">
        <f t="shared" si="3"/>
        <v>7.119999999999997</v>
      </c>
      <c r="B15" s="195" t="s">
        <v>1341</v>
      </c>
      <c r="C15" s="33" t="s">
        <v>1592</v>
      </c>
      <c r="D15" s="92"/>
      <c r="E15" s="92" t="s">
        <v>450</v>
      </c>
      <c r="F15" s="92"/>
      <c r="G15" s="92"/>
      <c r="H15" s="92"/>
      <c r="I15" s="92"/>
      <c r="J15" s="33"/>
      <c r="K15" s="33"/>
      <c r="L15" s="33"/>
      <c r="M15" s="33"/>
      <c r="N15" s="313" t="s">
        <v>1342</v>
      </c>
      <c r="O15" s="370"/>
      <c r="P15" s="370"/>
      <c r="Q15" s="370"/>
      <c r="R15" s="370"/>
      <c r="S15" s="371"/>
      <c r="T15" s="373"/>
      <c r="W15" t="str">
        <f aca="true" t="shared" si="8" ref="W15:AA16">IF(D$5&lt;&gt;"",CONCATENATE($B15,": ",D15),"")</f>
        <v>DNS 1: </v>
      </c>
      <c r="X15" t="str">
        <f t="shared" si="8"/>
        <v>DNS 1: 200.035.065.003</v>
      </c>
      <c r="Y15" t="str">
        <f t="shared" si="8"/>
        <v>DNS 1: </v>
      </c>
      <c r="Z15">
        <f t="shared" si="8"/>
      </c>
      <c r="AA15">
        <f t="shared" si="8"/>
      </c>
      <c r="AB15">
        <f t="shared" si="2"/>
      </c>
    </row>
    <row r="16" spans="1:28" ht="38.25" customHeight="1">
      <c r="A16" s="1">
        <f t="shared" si="3"/>
        <v>7.129999999999997</v>
      </c>
      <c r="B16" s="195" t="s">
        <v>1343</v>
      </c>
      <c r="C16" s="33" t="s">
        <v>1592</v>
      </c>
      <c r="D16" s="92"/>
      <c r="E16" s="92" t="s">
        <v>451</v>
      </c>
      <c r="F16" s="92"/>
      <c r="G16" s="92"/>
      <c r="H16" s="92"/>
      <c r="I16" s="92"/>
      <c r="J16" s="33"/>
      <c r="K16" s="33"/>
      <c r="L16" s="33"/>
      <c r="M16" s="33"/>
      <c r="N16" s="313" t="s">
        <v>1342</v>
      </c>
      <c r="O16" s="370"/>
      <c r="P16" s="370"/>
      <c r="Q16" s="370"/>
      <c r="R16" s="370"/>
      <c r="S16" s="371"/>
      <c r="T16" s="373"/>
      <c r="W16" t="str">
        <f t="shared" si="8"/>
        <v>DNS 2: </v>
      </c>
      <c r="X16" t="str">
        <f t="shared" si="8"/>
        <v>DNS 2: 200.035.065.004</v>
      </c>
      <c r="Y16" t="str">
        <f t="shared" si="8"/>
        <v>DNS 2: </v>
      </c>
      <c r="Z16">
        <f t="shared" si="8"/>
      </c>
      <c r="AA16">
        <f t="shared" si="8"/>
      </c>
      <c r="AB16">
        <f t="shared" si="2"/>
      </c>
    </row>
    <row r="17" spans="1:28" ht="38.25" customHeight="1">
      <c r="A17" s="1">
        <f t="shared" si="3"/>
        <v>7.139999999999997</v>
      </c>
      <c r="B17" s="195" t="s">
        <v>853</v>
      </c>
      <c r="C17" s="33">
        <v>120</v>
      </c>
      <c r="D17" s="92">
        <v>120</v>
      </c>
      <c r="E17" s="92">
        <v>120</v>
      </c>
      <c r="F17" s="92">
        <v>120</v>
      </c>
      <c r="G17" s="92"/>
      <c r="H17" s="92"/>
      <c r="I17" s="92"/>
      <c r="J17" s="33"/>
      <c r="K17" s="33"/>
      <c r="L17" s="33"/>
      <c r="M17" s="33"/>
      <c r="N17" s="313" t="s">
        <v>1344</v>
      </c>
      <c r="O17" s="370"/>
      <c r="P17" s="370"/>
      <c r="Q17" s="370"/>
      <c r="R17" s="370"/>
      <c r="S17" s="371"/>
      <c r="T17" s="373"/>
      <c r="W17" t="str">
        <f aca="true" t="shared" si="9" ref="W17:AB17">IF(D$5&lt;&gt;"",IF(D17&lt;&gt;0,CONCATENATE($B17,": ",D17),CONCATENATE($B17,": 120")),"")</f>
        <v>CSD Timeout (seconds): 120</v>
      </c>
      <c r="X17" t="str">
        <f t="shared" si="9"/>
        <v>CSD Timeout (seconds): 120</v>
      </c>
      <c r="Y17" t="str">
        <f t="shared" si="9"/>
        <v>CSD Timeout (seconds): 120</v>
      </c>
      <c r="Z17">
        <f t="shared" si="9"/>
      </c>
      <c r="AA17">
        <f t="shared" si="9"/>
      </c>
      <c r="AB17">
        <f t="shared" si="9"/>
      </c>
    </row>
    <row r="18" spans="1:28" ht="38.25" customHeight="1">
      <c r="A18" s="1">
        <f t="shared" si="3"/>
        <v>7.149999999999997</v>
      </c>
      <c r="B18" s="195" t="s">
        <v>1345</v>
      </c>
      <c r="C18" s="33" t="s">
        <v>1592</v>
      </c>
      <c r="D18" s="92"/>
      <c r="E18" s="92"/>
      <c r="F18" s="92"/>
      <c r="G18" s="92"/>
      <c r="H18" s="92"/>
      <c r="I18" s="92"/>
      <c r="J18" s="33"/>
      <c r="K18" s="33"/>
      <c r="L18" s="33"/>
      <c r="M18" s="33"/>
      <c r="N18" s="313" t="s">
        <v>1346</v>
      </c>
      <c r="O18" s="370"/>
      <c r="P18" s="370"/>
      <c r="Q18" s="370"/>
      <c r="R18" s="370"/>
      <c r="S18" s="371"/>
      <c r="T18" s="373"/>
      <c r="W18" t="str">
        <f aca="true" t="shared" si="10" ref="W18:AA20">IF(D$5&lt;&gt;"",CONCATENATE($B18,": ",D18),"")</f>
        <v>CSD Phone Number L1: </v>
      </c>
      <c r="X18" t="str">
        <f t="shared" si="10"/>
        <v>CSD Phone Number L1: </v>
      </c>
      <c r="Y18" t="str">
        <f t="shared" si="10"/>
        <v>CSD Phone Number L1: </v>
      </c>
      <c r="Z18">
        <f t="shared" si="10"/>
      </c>
      <c r="AA18">
        <f t="shared" si="10"/>
      </c>
      <c r="AB18">
        <f t="shared" si="2"/>
      </c>
    </row>
    <row r="19" spans="1:28" ht="38.25" customHeight="1">
      <c r="A19" s="1">
        <f t="shared" si="3"/>
        <v>7.159999999999997</v>
      </c>
      <c r="B19" s="195" t="s">
        <v>1347</v>
      </c>
      <c r="C19" s="33" t="s">
        <v>1592</v>
      </c>
      <c r="D19" s="92"/>
      <c r="E19" s="92"/>
      <c r="F19" s="92"/>
      <c r="G19" s="92"/>
      <c r="H19" s="92"/>
      <c r="I19" s="92"/>
      <c r="J19" s="33"/>
      <c r="K19" s="33"/>
      <c r="L19" s="33"/>
      <c r="M19" s="33"/>
      <c r="N19" s="313" t="s">
        <v>1348</v>
      </c>
      <c r="O19" s="370"/>
      <c r="P19" s="370"/>
      <c r="Q19" s="370"/>
      <c r="R19" s="370"/>
      <c r="S19" s="371"/>
      <c r="T19" s="373"/>
      <c r="W19" t="str">
        <f t="shared" si="10"/>
        <v>CSD User Name L1: </v>
      </c>
      <c r="X19" t="str">
        <f t="shared" si="10"/>
        <v>CSD User Name L1: </v>
      </c>
      <c r="Y19" t="str">
        <f t="shared" si="10"/>
        <v>CSD User Name L1: </v>
      </c>
      <c r="Z19">
        <f t="shared" si="10"/>
      </c>
      <c r="AA19">
        <f t="shared" si="10"/>
      </c>
      <c r="AB19">
        <f aca="true" t="shared" si="11" ref="AB19:AB30">IF(I$5&lt;&gt;"",CONCATENATE($B19,": ",I19),"")</f>
      </c>
    </row>
    <row r="20" spans="1:28" ht="38.25" customHeight="1">
      <c r="A20" s="1">
        <f t="shared" si="3"/>
        <v>7.169999999999996</v>
      </c>
      <c r="B20" s="195" t="s">
        <v>1349</v>
      </c>
      <c r="C20" s="33" t="s">
        <v>1592</v>
      </c>
      <c r="D20" s="92"/>
      <c r="E20" s="92"/>
      <c r="F20" s="92"/>
      <c r="G20" s="92"/>
      <c r="H20" s="92"/>
      <c r="I20" s="92"/>
      <c r="J20" s="33"/>
      <c r="K20" s="33"/>
      <c r="L20" s="33"/>
      <c r="M20" s="33"/>
      <c r="N20" s="313" t="s">
        <v>1350</v>
      </c>
      <c r="O20" s="370"/>
      <c r="P20" s="370"/>
      <c r="Q20" s="370"/>
      <c r="R20" s="370"/>
      <c r="S20" s="371"/>
      <c r="T20" s="373"/>
      <c r="W20" t="str">
        <f t="shared" si="10"/>
        <v>CSD Password L1: </v>
      </c>
      <c r="X20" t="str">
        <f t="shared" si="10"/>
        <v>CSD Password L1: </v>
      </c>
      <c r="Y20" t="str">
        <f t="shared" si="10"/>
        <v>CSD Password L1: </v>
      </c>
      <c r="Z20">
        <f t="shared" si="10"/>
      </c>
      <c r="AA20">
        <f t="shared" si="10"/>
      </c>
      <c r="AB20">
        <f t="shared" si="11"/>
      </c>
    </row>
    <row r="21" spans="1:28" ht="38.25" customHeight="1">
      <c r="A21" s="1">
        <f t="shared" si="3"/>
        <v>7.179999999999996</v>
      </c>
      <c r="B21" s="195" t="s">
        <v>1351</v>
      </c>
      <c r="C21" s="33">
        <v>9600</v>
      </c>
      <c r="D21" s="92">
        <v>9600</v>
      </c>
      <c r="E21" s="92">
        <v>9600</v>
      </c>
      <c r="F21" s="92">
        <v>9600</v>
      </c>
      <c r="G21" s="92"/>
      <c r="H21" s="92"/>
      <c r="I21" s="92"/>
      <c r="J21" s="33"/>
      <c r="K21" s="33"/>
      <c r="L21" s="33"/>
      <c r="M21" s="33"/>
      <c r="N21" s="313" t="s">
        <v>1352</v>
      </c>
      <c r="O21" s="370"/>
      <c r="P21" s="370"/>
      <c r="Q21" s="370"/>
      <c r="R21" s="370"/>
      <c r="S21" s="371"/>
      <c r="T21" s="373"/>
      <c r="W21" t="str">
        <f aca="true" t="shared" si="12" ref="W21:AB21">IF(D$5&lt;&gt;"",IF(D21&lt;&gt;0,CONCATENATE($B21,": ",D21),CONCATENATE($B21,": 9600")),"")</f>
        <v>CSD Connection Speed L1: 9600</v>
      </c>
      <c r="X21" t="str">
        <f t="shared" si="12"/>
        <v>CSD Connection Speed L1: 9600</v>
      </c>
      <c r="Y21" t="str">
        <f t="shared" si="12"/>
        <v>CSD Connection Speed L1: 9600</v>
      </c>
      <c r="Z21">
        <f t="shared" si="12"/>
      </c>
      <c r="AA21">
        <f t="shared" si="12"/>
      </c>
      <c r="AB21">
        <f t="shared" si="12"/>
      </c>
    </row>
    <row r="22" spans="1:28" ht="38.25" customHeight="1">
      <c r="A22" s="1">
        <f t="shared" si="3"/>
        <v>7.189999999999996</v>
      </c>
      <c r="B22" s="195" t="s">
        <v>1353</v>
      </c>
      <c r="C22" s="33" t="s">
        <v>1354</v>
      </c>
      <c r="D22" s="92" t="s">
        <v>1354</v>
      </c>
      <c r="E22" s="92" t="s">
        <v>1354</v>
      </c>
      <c r="F22" s="92" t="s">
        <v>1354</v>
      </c>
      <c r="G22" s="92"/>
      <c r="H22" s="92"/>
      <c r="I22" s="92"/>
      <c r="J22" s="33"/>
      <c r="K22" s="33"/>
      <c r="L22" s="33"/>
      <c r="M22" s="33"/>
      <c r="N22" s="313" t="s">
        <v>1355</v>
      </c>
      <c r="O22" s="370"/>
      <c r="P22" s="370"/>
      <c r="Q22" s="370"/>
      <c r="R22" s="370"/>
      <c r="S22" s="371"/>
      <c r="T22" s="373"/>
      <c r="W22" t="str">
        <f aca="true" t="shared" si="13" ref="W22:AB22">IF(D$5&lt;&gt;"",IF(D22&lt;&gt;0,CONCATENATE($B22,": ",D22),CONCATENATE($B22,": ISDN")),"")</f>
        <v>CSD Line Type L1: ISDN</v>
      </c>
      <c r="X22" t="str">
        <f t="shared" si="13"/>
        <v>CSD Line Type L1: ISDN</v>
      </c>
      <c r="Y22" t="str">
        <f t="shared" si="13"/>
        <v>CSD Line Type L1: ISDN</v>
      </c>
      <c r="Z22">
        <f t="shared" si="13"/>
      </c>
      <c r="AA22">
        <f t="shared" si="13"/>
      </c>
      <c r="AB22">
        <f t="shared" si="13"/>
      </c>
    </row>
    <row r="23" spans="1:28" ht="38.25" customHeight="1">
      <c r="A23" s="1">
        <f t="shared" si="3"/>
        <v>7.199999999999996</v>
      </c>
      <c r="B23" s="195" t="s">
        <v>1356</v>
      </c>
      <c r="C23" s="33" t="s">
        <v>1592</v>
      </c>
      <c r="D23" s="92"/>
      <c r="E23" s="92"/>
      <c r="F23" s="92"/>
      <c r="G23" s="92"/>
      <c r="H23" s="92"/>
      <c r="I23" s="92"/>
      <c r="J23" s="33"/>
      <c r="K23" s="33"/>
      <c r="L23" s="33"/>
      <c r="M23" s="33"/>
      <c r="N23" s="313" t="s">
        <v>294</v>
      </c>
      <c r="O23" s="370"/>
      <c r="P23" s="370"/>
      <c r="Q23" s="370"/>
      <c r="R23" s="370"/>
      <c r="S23" s="371"/>
      <c r="T23" s="373"/>
      <c r="W23" t="str">
        <f aca="true" t="shared" si="14" ref="W23:AA25">IF(D$5&lt;&gt;"",CONCATENATE($B23,": ",D23),"")</f>
        <v>CSD Phone Number L2: </v>
      </c>
      <c r="X23" t="str">
        <f t="shared" si="14"/>
        <v>CSD Phone Number L2: </v>
      </c>
      <c r="Y23" t="str">
        <f t="shared" si="14"/>
        <v>CSD Phone Number L2: </v>
      </c>
      <c r="Z23">
        <f t="shared" si="14"/>
      </c>
      <c r="AA23">
        <f t="shared" si="14"/>
      </c>
      <c r="AB23">
        <f t="shared" si="11"/>
      </c>
    </row>
    <row r="24" spans="1:28" ht="38.25" customHeight="1">
      <c r="A24" s="1">
        <f t="shared" si="3"/>
        <v>7.2099999999999955</v>
      </c>
      <c r="B24" s="195" t="s">
        <v>295</v>
      </c>
      <c r="C24" s="33" t="s">
        <v>1592</v>
      </c>
      <c r="D24" s="92"/>
      <c r="E24" s="92"/>
      <c r="F24" s="92"/>
      <c r="G24" s="92"/>
      <c r="H24" s="92"/>
      <c r="I24" s="92"/>
      <c r="J24" s="33"/>
      <c r="K24" s="33"/>
      <c r="L24" s="33"/>
      <c r="M24" s="33"/>
      <c r="N24" s="313" t="s">
        <v>296</v>
      </c>
      <c r="O24" s="370"/>
      <c r="P24" s="370"/>
      <c r="Q24" s="370"/>
      <c r="R24" s="370"/>
      <c r="S24" s="371"/>
      <c r="T24" s="373"/>
      <c r="W24" t="str">
        <f t="shared" si="14"/>
        <v>CSD User Name L2: </v>
      </c>
      <c r="X24" t="str">
        <f t="shared" si="14"/>
        <v>CSD User Name L2: </v>
      </c>
      <c r="Y24" t="str">
        <f t="shared" si="14"/>
        <v>CSD User Name L2: </v>
      </c>
      <c r="Z24">
        <f t="shared" si="14"/>
      </c>
      <c r="AA24">
        <f t="shared" si="14"/>
      </c>
      <c r="AB24">
        <f t="shared" si="11"/>
      </c>
    </row>
    <row r="25" spans="1:28" ht="38.25" customHeight="1">
      <c r="A25" s="1">
        <f t="shared" si="3"/>
        <v>7.219999999999995</v>
      </c>
      <c r="B25" s="195" t="s">
        <v>297</v>
      </c>
      <c r="C25" s="33" t="s">
        <v>1592</v>
      </c>
      <c r="D25" s="92"/>
      <c r="E25" s="92"/>
      <c r="F25" s="92"/>
      <c r="G25" s="92"/>
      <c r="H25" s="92"/>
      <c r="I25" s="92"/>
      <c r="J25" s="33"/>
      <c r="K25" s="33"/>
      <c r="L25" s="33"/>
      <c r="M25" s="33"/>
      <c r="N25" s="313" t="s">
        <v>298</v>
      </c>
      <c r="O25" s="370"/>
      <c r="P25" s="370"/>
      <c r="Q25" s="370"/>
      <c r="R25" s="370"/>
      <c r="S25" s="371"/>
      <c r="T25" s="373"/>
      <c r="W25" t="str">
        <f t="shared" si="14"/>
        <v>CSD Password L2: </v>
      </c>
      <c r="X25" t="str">
        <f t="shared" si="14"/>
        <v>CSD Password L2: </v>
      </c>
      <c r="Y25" t="str">
        <f t="shared" si="14"/>
        <v>CSD Password L2: </v>
      </c>
      <c r="Z25">
        <f t="shared" si="14"/>
      </c>
      <c r="AA25">
        <f t="shared" si="14"/>
      </c>
      <c r="AB25">
        <f t="shared" si="11"/>
      </c>
    </row>
    <row r="26" spans="1:28" ht="38.25" customHeight="1">
      <c r="A26" s="1">
        <f t="shared" si="3"/>
        <v>7.229999999999995</v>
      </c>
      <c r="B26" s="195" t="s">
        <v>299</v>
      </c>
      <c r="C26" s="33">
        <v>9600</v>
      </c>
      <c r="D26" s="92">
        <v>9600</v>
      </c>
      <c r="E26" s="92">
        <v>9600</v>
      </c>
      <c r="F26" s="92">
        <v>9600</v>
      </c>
      <c r="G26" s="92"/>
      <c r="H26" s="92"/>
      <c r="I26" s="92"/>
      <c r="J26" s="33"/>
      <c r="K26" s="33"/>
      <c r="L26" s="33"/>
      <c r="M26" s="33"/>
      <c r="N26" s="313" t="s">
        <v>1352</v>
      </c>
      <c r="O26" s="370"/>
      <c r="P26" s="370"/>
      <c r="Q26" s="370"/>
      <c r="R26" s="370"/>
      <c r="S26" s="371"/>
      <c r="T26" s="373"/>
      <c r="W26" t="str">
        <f aca="true" t="shared" si="15" ref="W26:AB26">IF(D$5&lt;&gt;"",IF(D26&lt;&gt;0,CONCATENATE($B26,": ",D26),CONCATENATE($B26,": 9600")),"")</f>
        <v>CSD Connection Speed L2: 9600</v>
      </c>
      <c r="X26" t="str">
        <f t="shared" si="15"/>
        <v>CSD Connection Speed L2: 9600</v>
      </c>
      <c r="Y26" t="str">
        <f t="shared" si="15"/>
        <v>CSD Connection Speed L2: 9600</v>
      </c>
      <c r="Z26">
        <f t="shared" si="15"/>
      </c>
      <c r="AA26">
        <f t="shared" si="15"/>
      </c>
      <c r="AB26">
        <f t="shared" si="15"/>
      </c>
    </row>
    <row r="27" spans="1:28" ht="38.25" customHeight="1">
      <c r="A27" s="1">
        <f t="shared" si="3"/>
        <v>7.239999999999995</v>
      </c>
      <c r="B27" s="195" t="s">
        <v>300</v>
      </c>
      <c r="C27" s="33" t="s">
        <v>1354</v>
      </c>
      <c r="D27" s="92" t="s">
        <v>1354</v>
      </c>
      <c r="E27" s="92" t="s">
        <v>1354</v>
      </c>
      <c r="F27" s="92" t="s">
        <v>1354</v>
      </c>
      <c r="G27" s="92"/>
      <c r="H27" s="92"/>
      <c r="I27" s="92"/>
      <c r="J27" s="33"/>
      <c r="K27" s="33"/>
      <c r="L27" s="33"/>
      <c r="M27" s="33"/>
      <c r="N27" s="313" t="s">
        <v>1355</v>
      </c>
      <c r="O27" s="370"/>
      <c r="P27" s="370"/>
      <c r="Q27" s="370"/>
      <c r="R27" s="370"/>
      <c r="S27" s="371"/>
      <c r="T27" s="373"/>
      <c r="W27" t="str">
        <f aca="true" t="shared" si="16" ref="W27:AB27">IF(D$5&lt;&gt;"",IF(D27&lt;&gt;0,CONCATENATE($B27,": ",D27),CONCATENATE($B27,": ISDN")),"")</f>
        <v>CSD Line Type L2: ISDN</v>
      </c>
      <c r="X27" t="str">
        <f t="shared" si="16"/>
        <v>CSD Line Type L2: ISDN</v>
      </c>
      <c r="Y27" t="str">
        <f t="shared" si="16"/>
        <v>CSD Line Type L2: ISDN</v>
      </c>
      <c r="Z27">
        <f t="shared" si="16"/>
      </c>
      <c r="AA27">
        <f t="shared" si="16"/>
      </c>
      <c r="AB27">
        <f t="shared" si="16"/>
      </c>
    </row>
    <row r="28" spans="1:28" ht="38.25" customHeight="1">
      <c r="A28" s="1">
        <f t="shared" si="3"/>
        <v>7.249999999999995</v>
      </c>
      <c r="B28" s="195" t="s">
        <v>301</v>
      </c>
      <c r="C28" s="33" t="s">
        <v>1592</v>
      </c>
      <c r="D28" s="92" t="s">
        <v>452</v>
      </c>
      <c r="E28" s="92" t="s">
        <v>453</v>
      </c>
      <c r="F28" s="92" t="s">
        <v>454</v>
      </c>
      <c r="G28" s="92"/>
      <c r="H28" s="92"/>
      <c r="I28" s="92"/>
      <c r="J28" s="33"/>
      <c r="K28" s="33"/>
      <c r="L28" s="33"/>
      <c r="M28" s="33"/>
      <c r="N28" s="313"/>
      <c r="O28" s="370"/>
      <c r="P28" s="370"/>
      <c r="Q28" s="370"/>
      <c r="R28" s="370"/>
      <c r="S28" s="371"/>
      <c r="T28" s="373"/>
      <c r="W28" t="str">
        <f aca="true" t="shared" si="17" ref="W28:AA30">IF(D$5&lt;&gt;"",CONCATENATE($B28,": ",D28),"")</f>
        <v>GPRS APN: wap.movistar.ve</v>
      </c>
      <c r="X28" t="str">
        <f t="shared" si="17"/>
        <v>GPRS APN: internet.movistar.ve</v>
      </c>
      <c r="Y28" t="str">
        <f t="shared" si="17"/>
        <v>GPRS APN: mms.movistar.ve</v>
      </c>
      <c r="Z28">
        <f t="shared" si="17"/>
      </c>
      <c r="AA28">
        <f t="shared" si="17"/>
      </c>
      <c r="AB28">
        <f t="shared" si="11"/>
      </c>
    </row>
    <row r="29" spans="1:28" ht="38.25" customHeight="1">
      <c r="A29" s="1">
        <f t="shared" si="3"/>
        <v>7.2599999999999945</v>
      </c>
      <c r="B29" s="195" t="s">
        <v>302</v>
      </c>
      <c r="C29" s="33" t="s">
        <v>1592</v>
      </c>
      <c r="D29" s="92"/>
      <c r="E29" s="92"/>
      <c r="F29" s="92"/>
      <c r="G29" s="92"/>
      <c r="H29" s="92"/>
      <c r="I29" s="92"/>
      <c r="J29" s="33"/>
      <c r="K29" s="33"/>
      <c r="L29" s="33"/>
      <c r="M29" s="33"/>
      <c r="N29" s="313" t="s">
        <v>303</v>
      </c>
      <c r="O29" s="370"/>
      <c r="P29" s="370"/>
      <c r="Q29" s="370"/>
      <c r="R29" s="370"/>
      <c r="S29" s="371"/>
      <c r="T29" s="373"/>
      <c r="W29" t="str">
        <f t="shared" si="17"/>
        <v>GPRS User Name: </v>
      </c>
      <c r="X29" t="str">
        <f t="shared" si="17"/>
        <v>GPRS User Name: </v>
      </c>
      <c r="Y29" t="str">
        <f t="shared" si="17"/>
        <v>GPRS User Name: </v>
      </c>
      <c r="Z29">
        <f t="shared" si="17"/>
      </c>
      <c r="AA29">
        <f t="shared" si="17"/>
      </c>
      <c r="AB29">
        <f t="shared" si="11"/>
      </c>
    </row>
    <row r="30" spans="1:28" ht="38.25" customHeight="1">
      <c r="A30" s="1">
        <f t="shared" si="3"/>
        <v>7.269999999999994</v>
      </c>
      <c r="B30" s="195" t="s">
        <v>304</v>
      </c>
      <c r="C30" s="33" t="s">
        <v>1592</v>
      </c>
      <c r="D30" s="92"/>
      <c r="E30" s="92"/>
      <c r="F30" s="92"/>
      <c r="G30" s="92"/>
      <c r="H30" s="92"/>
      <c r="I30" s="92"/>
      <c r="J30" s="33"/>
      <c r="K30" s="33"/>
      <c r="L30" s="33"/>
      <c r="M30" s="33"/>
      <c r="N30" s="313" t="s">
        <v>305</v>
      </c>
      <c r="O30" s="370"/>
      <c r="P30" s="370"/>
      <c r="Q30" s="370"/>
      <c r="R30" s="370"/>
      <c r="S30" s="371"/>
      <c r="T30" s="374"/>
      <c r="W30" t="str">
        <f t="shared" si="17"/>
        <v>GPRS Password: </v>
      </c>
      <c r="X30" t="str">
        <f t="shared" si="17"/>
        <v>GPRS Password: </v>
      </c>
      <c r="Y30" t="str">
        <f t="shared" si="17"/>
        <v>GPRS Password: </v>
      </c>
      <c r="Z30">
        <f t="shared" si="17"/>
      </c>
      <c r="AA30">
        <f t="shared" si="17"/>
      </c>
      <c r="AB30">
        <f t="shared" si="11"/>
      </c>
    </row>
    <row r="31" ht="50.25" customHeight="1"/>
    <row r="33" ht="12.75">
      <c r="X33" t="s">
        <v>1091</v>
      </c>
    </row>
    <row r="34" ht="12.75">
      <c r="X34" t="s">
        <v>1094</v>
      </c>
    </row>
  </sheetData>
  <mergeCells count="32">
    <mergeCell ref="N29:S29"/>
    <mergeCell ref="N23:S23"/>
    <mergeCell ref="N7:S7"/>
    <mergeCell ref="N19:S19"/>
    <mergeCell ref="N18:S18"/>
    <mergeCell ref="N27:S27"/>
    <mergeCell ref="N26:S26"/>
    <mergeCell ref="N22:S22"/>
    <mergeCell ref="N21:S21"/>
    <mergeCell ref="N25:S25"/>
    <mergeCell ref="T4:T30"/>
    <mergeCell ref="N16:S16"/>
    <mergeCell ref="N15:S15"/>
    <mergeCell ref="N10:S10"/>
    <mergeCell ref="N9:S9"/>
    <mergeCell ref="N14:S14"/>
    <mergeCell ref="N11:S11"/>
    <mergeCell ref="N28:S28"/>
    <mergeCell ref="N20:S20"/>
    <mergeCell ref="N30:S30"/>
    <mergeCell ref="N24:S24"/>
    <mergeCell ref="N5:S5"/>
    <mergeCell ref="N17:S17"/>
    <mergeCell ref="N8:S8"/>
    <mergeCell ref="N12:S12"/>
    <mergeCell ref="N13:S13"/>
    <mergeCell ref="N6:S6"/>
    <mergeCell ref="A1:A2"/>
    <mergeCell ref="B1:S1"/>
    <mergeCell ref="N2:S2"/>
    <mergeCell ref="N4:S4"/>
    <mergeCell ref="N3:S3"/>
  </mergeCells>
  <dataValidations count="2">
    <dataValidation type="list" allowBlank="1" showInputMessage="1" showErrorMessage="1" sqref="E3:M3">
      <formula1>$X$33:$X$34</formula1>
    </dataValidation>
    <dataValidation type="list" allowBlank="1" showInputMessage="1" showErrorMessage="1" sqref="D3">
      <formula1>$X$33:$X$35</formula1>
    </dataValidation>
  </dataValidations>
  <hyperlinks>
    <hyperlink ref="D6" r:id="rId1" display="http://interactivo.telcel.net.ve/"/>
    <hyperlink ref="F6" r:id="rId2" display="http://mms.movistar.com.ve:8088/mms"/>
  </hyperlinks>
  <printOptions horizontalCentered="1"/>
  <pageMargins left="0.28" right="0.28" top="0.45" bottom="0.46" header="0.38" footer="0.43"/>
  <pageSetup fitToHeight="1" fitToWidth="1" horizontalDpi="600" verticalDpi="600" orientation="landscape" scale="50" r:id="rId5"/>
  <ignoredErrors>
    <ignoredError sqref="W8:AB29" formula="1"/>
  </ignoredErrors>
  <legacyDrawing r:id="rId4"/>
</worksheet>
</file>

<file path=xl/worksheets/sheet8.xml><?xml version="1.0" encoding="utf-8"?>
<worksheet xmlns="http://schemas.openxmlformats.org/spreadsheetml/2006/main" xmlns:r="http://schemas.openxmlformats.org/officeDocument/2006/relationships">
  <sheetPr codeName="Sheet11">
    <pageSetUpPr fitToPage="1"/>
  </sheetPr>
  <dimension ref="A1:AA44"/>
  <sheetViews>
    <sheetView showGridLines="0" workbookViewId="0" topLeftCell="A1">
      <selection activeCell="A1" sqref="A1:J1"/>
    </sheetView>
  </sheetViews>
  <sheetFormatPr defaultColWidth="9.140625" defaultRowHeight="12.75"/>
  <cols>
    <col min="1" max="1" width="12.140625" style="50" bestFit="1" customWidth="1"/>
    <col min="2" max="2" width="18.28125" style="50" customWidth="1"/>
    <col min="3" max="3" width="14.8515625" style="56" customWidth="1"/>
    <col min="4" max="4" width="5.8515625" style="56" customWidth="1"/>
    <col min="5" max="5" width="9.140625" style="57" customWidth="1"/>
    <col min="6" max="6" width="13.57421875" style="58" customWidth="1"/>
    <col min="7" max="7" width="38.00390625" style="50" customWidth="1"/>
    <col min="8" max="8" width="7.28125" style="56" customWidth="1"/>
    <col min="9" max="9" width="8.7109375" style="56" customWidth="1"/>
    <col min="10" max="10" width="24.8515625" style="50" customWidth="1"/>
    <col min="11" max="16384" width="9.140625" style="50" customWidth="1"/>
  </cols>
  <sheetData>
    <row r="1" spans="1:10" ht="56.25" customHeight="1" thickBot="1" thickTop="1">
      <c r="A1" s="381" t="s">
        <v>267</v>
      </c>
      <c r="B1" s="382"/>
      <c r="C1" s="382"/>
      <c r="D1" s="382"/>
      <c r="E1" s="382"/>
      <c r="F1" s="382"/>
      <c r="G1" s="382"/>
      <c r="H1" s="382"/>
      <c r="I1" s="382"/>
      <c r="J1" s="383"/>
    </row>
    <row r="2" spans="1:10" ht="21" customHeight="1" thickTop="1">
      <c r="A2" s="384" t="s">
        <v>1046</v>
      </c>
      <c r="B2" s="385"/>
      <c r="C2" s="385"/>
      <c r="D2" s="385"/>
      <c r="E2" s="385"/>
      <c r="F2" s="385"/>
      <c r="G2" s="385"/>
      <c r="H2" s="385"/>
      <c r="I2" s="385"/>
      <c r="J2" s="386"/>
    </row>
    <row r="3" spans="1:10" ht="21" customHeight="1">
      <c r="A3" s="375" t="s">
        <v>1047</v>
      </c>
      <c r="B3" s="376"/>
      <c r="C3" s="376"/>
      <c r="D3" s="376"/>
      <c r="E3" s="376"/>
      <c r="F3" s="376"/>
      <c r="G3" s="376"/>
      <c r="H3" s="376"/>
      <c r="I3" s="376"/>
      <c r="J3" s="377"/>
    </row>
    <row r="4" spans="1:10" ht="21" customHeight="1">
      <c r="A4" s="375" t="s">
        <v>1048</v>
      </c>
      <c r="B4" s="376"/>
      <c r="C4" s="376"/>
      <c r="D4" s="376"/>
      <c r="E4" s="376"/>
      <c r="F4" s="376"/>
      <c r="G4" s="376"/>
      <c r="H4" s="376"/>
      <c r="I4" s="376"/>
      <c r="J4" s="377"/>
    </row>
    <row r="5" spans="1:10" ht="21" customHeight="1">
      <c r="A5" s="375" t="s">
        <v>1049</v>
      </c>
      <c r="B5" s="376"/>
      <c r="C5" s="376"/>
      <c r="D5" s="376"/>
      <c r="E5" s="376"/>
      <c r="F5" s="376"/>
      <c r="G5" s="376"/>
      <c r="H5" s="376"/>
      <c r="I5" s="376"/>
      <c r="J5" s="377"/>
    </row>
    <row r="6" spans="1:10" ht="21" customHeight="1">
      <c r="A6" s="375" t="s">
        <v>418</v>
      </c>
      <c r="B6" s="376"/>
      <c r="C6" s="376"/>
      <c r="D6" s="376"/>
      <c r="E6" s="376"/>
      <c r="F6" s="376"/>
      <c r="G6" s="376"/>
      <c r="H6" s="376"/>
      <c r="I6" s="376"/>
      <c r="J6" s="377"/>
    </row>
    <row r="7" spans="1:10" ht="21" customHeight="1">
      <c r="A7" s="375" t="s">
        <v>419</v>
      </c>
      <c r="B7" s="376"/>
      <c r="C7" s="376"/>
      <c r="D7" s="376"/>
      <c r="E7" s="376"/>
      <c r="F7" s="376"/>
      <c r="G7" s="376"/>
      <c r="H7" s="376"/>
      <c r="I7" s="376"/>
      <c r="J7" s="377"/>
    </row>
    <row r="8" spans="1:10" ht="21" customHeight="1">
      <c r="A8" s="375" t="s">
        <v>1224</v>
      </c>
      <c r="B8" s="376"/>
      <c r="C8" s="376"/>
      <c r="D8" s="376"/>
      <c r="E8" s="376"/>
      <c r="F8" s="376"/>
      <c r="G8" s="376"/>
      <c r="H8" s="376"/>
      <c r="I8" s="376"/>
      <c r="J8" s="377"/>
    </row>
    <row r="9" spans="1:10" ht="21" customHeight="1" thickBot="1">
      <c r="A9" s="378" t="s">
        <v>1225</v>
      </c>
      <c r="B9" s="379"/>
      <c r="C9" s="379"/>
      <c r="D9" s="379"/>
      <c r="E9" s="379"/>
      <c r="F9" s="379"/>
      <c r="G9" s="379"/>
      <c r="H9" s="379"/>
      <c r="I9" s="379"/>
      <c r="J9" s="380"/>
    </row>
    <row r="10" spans="1:10" ht="21" customHeight="1" thickBot="1" thickTop="1">
      <c r="A10" s="51"/>
      <c r="B10" s="52"/>
      <c r="C10" s="52"/>
      <c r="D10" s="52"/>
      <c r="E10" s="52"/>
      <c r="F10" s="52"/>
      <c r="G10" s="52"/>
      <c r="H10" s="52"/>
      <c r="I10" s="52"/>
      <c r="J10" s="52"/>
    </row>
    <row r="11" spans="1:10" ht="39.75" customHeight="1" thickBot="1">
      <c r="A11" s="394" t="s">
        <v>268</v>
      </c>
      <c r="B11" s="395"/>
      <c r="C11" s="395"/>
      <c r="D11" s="395"/>
      <c r="E11" s="396"/>
      <c r="F11" s="396"/>
      <c r="G11" s="396"/>
      <c r="H11" s="396"/>
      <c r="I11" s="396"/>
      <c r="J11" s="397"/>
    </row>
    <row r="12" spans="1:10" ht="21" customHeight="1">
      <c r="A12" s="398" t="s">
        <v>420</v>
      </c>
      <c r="B12" s="399"/>
      <c r="C12" s="399"/>
      <c r="D12" s="399"/>
      <c r="E12" s="400"/>
      <c r="F12" s="400"/>
      <c r="G12" s="400"/>
      <c r="H12" s="400"/>
      <c r="I12" s="400"/>
      <c r="J12" s="401"/>
    </row>
    <row r="13" spans="1:10" ht="21" customHeight="1">
      <c r="A13" s="375" t="s">
        <v>421</v>
      </c>
      <c r="B13" s="387"/>
      <c r="C13" s="387"/>
      <c r="D13" s="387"/>
      <c r="E13" s="388"/>
      <c r="F13" s="388"/>
      <c r="G13" s="388"/>
      <c r="H13" s="388"/>
      <c r="I13" s="388"/>
      <c r="J13" s="389"/>
    </row>
    <row r="14" spans="1:10" ht="21" customHeight="1">
      <c r="A14" s="375" t="s">
        <v>422</v>
      </c>
      <c r="B14" s="387"/>
      <c r="C14" s="387"/>
      <c r="D14" s="387"/>
      <c r="E14" s="388"/>
      <c r="F14" s="388"/>
      <c r="G14" s="388"/>
      <c r="H14" s="388"/>
      <c r="I14" s="388"/>
      <c r="J14" s="389"/>
    </row>
    <row r="15" spans="1:10" ht="21" customHeight="1">
      <c r="A15" s="375" t="s">
        <v>423</v>
      </c>
      <c r="B15" s="387"/>
      <c r="C15" s="387"/>
      <c r="D15" s="387"/>
      <c r="E15" s="388"/>
      <c r="F15" s="388"/>
      <c r="G15" s="388"/>
      <c r="H15" s="388"/>
      <c r="I15" s="388"/>
      <c r="J15" s="389"/>
    </row>
    <row r="16" spans="1:10" ht="21" customHeight="1" thickBot="1">
      <c r="A16" s="390" t="s">
        <v>458</v>
      </c>
      <c r="B16" s="391"/>
      <c r="C16" s="391"/>
      <c r="D16" s="391"/>
      <c r="E16" s="392"/>
      <c r="F16" s="392"/>
      <c r="G16" s="392"/>
      <c r="H16" s="392"/>
      <c r="I16" s="392"/>
      <c r="J16" s="393"/>
    </row>
    <row r="17" spans="1:10" ht="21" customHeight="1" thickBot="1" thickTop="1">
      <c r="A17" s="51"/>
      <c r="B17" s="52"/>
      <c r="C17" s="52"/>
      <c r="D17" s="52"/>
      <c r="E17" s="52"/>
      <c r="F17" s="52"/>
      <c r="G17" s="52"/>
      <c r="H17" s="52"/>
      <c r="I17" s="52"/>
      <c r="J17" s="52"/>
    </row>
    <row r="18" spans="1:10" ht="21.75" thickBot="1" thickTop="1">
      <c r="A18" s="381" t="s">
        <v>269</v>
      </c>
      <c r="B18" s="382"/>
      <c r="C18" s="382"/>
      <c r="D18" s="382"/>
      <c r="E18" s="382"/>
      <c r="F18" s="382"/>
      <c r="G18" s="382"/>
      <c r="H18" s="382"/>
      <c r="I18" s="382"/>
      <c r="J18" s="383"/>
    </row>
    <row r="19" spans="1:27" s="55" customFormat="1" ht="21" customHeight="1" thickTop="1">
      <c r="A19" s="384" t="s">
        <v>1046</v>
      </c>
      <c r="B19" s="385"/>
      <c r="C19" s="385"/>
      <c r="D19" s="385"/>
      <c r="E19" s="385"/>
      <c r="F19" s="385"/>
      <c r="G19" s="385"/>
      <c r="H19" s="385"/>
      <c r="I19" s="385"/>
      <c r="J19" s="386"/>
      <c r="K19" s="54"/>
      <c r="L19" s="54"/>
      <c r="M19" s="54"/>
      <c r="N19" s="54"/>
      <c r="O19" s="54"/>
      <c r="P19" s="54"/>
      <c r="Q19" s="54"/>
      <c r="R19" s="54"/>
      <c r="S19" s="54"/>
      <c r="T19" s="54"/>
      <c r="U19" s="54"/>
      <c r="V19" s="54"/>
      <c r="W19" s="54"/>
      <c r="X19" s="54"/>
      <c r="Y19" s="54"/>
      <c r="Z19" s="54"/>
      <c r="AA19" s="54"/>
    </row>
    <row r="20" spans="1:27" s="55" customFormat="1" ht="21" customHeight="1">
      <c r="A20" s="375" t="s">
        <v>1047</v>
      </c>
      <c r="B20" s="376"/>
      <c r="C20" s="376"/>
      <c r="D20" s="376"/>
      <c r="E20" s="376"/>
      <c r="F20" s="376"/>
      <c r="G20" s="376"/>
      <c r="H20" s="376"/>
      <c r="I20" s="376"/>
      <c r="J20" s="377"/>
      <c r="K20" s="54"/>
      <c r="L20" s="54"/>
      <c r="M20" s="54"/>
      <c r="N20" s="54"/>
      <c r="O20" s="54"/>
      <c r="P20" s="54"/>
      <c r="Q20" s="54"/>
      <c r="R20" s="54"/>
      <c r="S20" s="54"/>
      <c r="T20" s="54"/>
      <c r="U20" s="54"/>
      <c r="V20" s="54"/>
      <c r="W20" s="54"/>
      <c r="X20" s="54"/>
      <c r="Y20" s="54"/>
      <c r="Z20" s="54"/>
      <c r="AA20" s="54"/>
    </row>
    <row r="21" spans="1:27" s="55" customFormat="1" ht="21" customHeight="1">
      <c r="A21" s="375" t="s">
        <v>1048</v>
      </c>
      <c r="B21" s="376"/>
      <c r="C21" s="376"/>
      <c r="D21" s="376"/>
      <c r="E21" s="376"/>
      <c r="F21" s="376"/>
      <c r="G21" s="376"/>
      <c r="H21" s="376"/>
      <c r="I21" s="376"/>
      <c r="J21" s="377"/>
      <c r="K21" s="54"/>
      <c r="L21" s="54"/>
      <c r="M21" s="54"/>
      <c r="N21" s="54"/>
      <c r="O21" s="54"/>
      <c r="P21" s="54"/>
      <c r="Q21" s="54"/>
      <c r="R21" s="54"/>
      <c r="S21" s="54"/>
      <c r="T21" s="54"/>
      <c r="U21" s="54"/>
      <c r="V21" s="54"/>
      <c r="W21" s="54"/>
      <c r="X21" s="54"/>
      <c r="Y21" s="54"/>
      <c r="Z21" s="54"/>
      <c r="AA21" s="54"/>
    </row>
    <row r="22" spans="1:10" ht="21" customHeight="1">
      <c r="A22" s="375" t="s">
        <v>459</v>
      </c>
      <c r="B22" s="376"/>
      <c r="C22" s="376"/>
      <c r="D22" s="376"/>
      <c r="E22" s="376"/>
      <c r="F22" s="376"/>
      <c r="G22" s="376"/>
      <c r="H22" s="376"/>
      <c r="I22" s="376"/>
      <c r="J22" s="377"/>
    </row>
    <row r="23" spans="1:10" ht="21" customHeight="1">
      <c r="A23" s="375" t="s">
        <v>418</v>
      </c>
      <c r="B23" s="376"/>
      <c r="C23" s="376"/>
      <c r="D23" s="376"/>
      <c r="E23" s="376"/>
      <c r="F23" s="376"/>
      <c r="G23" s="376"/>
      <c r="H23" s="376"/>
      <c r="I23" s="376"/>
      <c r="J23" s="377"/>
    </row>
    <row r="24" spans="1:10" ht="21" customHeight="1">
      <c r="A24" s="375" t="s">
        <v>460</v>
      </c>
      <c r="B24" s="376"/>
      <c r="C24" s="376"/>
      <c r="D24" s="376"/>
      <c r="E24" s="376"/>
      <c r="F24" s="376"/>
      <c r="G24" s="376"/>
      <c r="H24" s="376"/>
      <c r="I24" s="376"/>
      <c r="J24" s="377"/>
    </row>
    <row r="25" spans="1:10" ht="21" customHeight="1">
      <c r="A25" s="375" t="s">
        <v>1224</v>
      </c>
      <c r="B25" s="376"/>
      <c r="C25" s="376"/>
      <c r="D25" s="376"/>
      <c r="E25" s="376"/>
      <c r="F25" s="376"/>
      <c r="G25" s="376"/>
      <c r="H25" s="376"/>
      <c r="I25" s="376"/>
      <c r="J25" s="377"/>
    </row>
    <row r="26" spans="1:10" ht="21" customHeight="1" thickBot="1">
      <c r="A26" s="378" t="s">
        <v>1225</v>
      </c>
      <c r="B26" s="379"/>
      <c r="C26" s="379"/>
      <c r="D26" s="379"/>
      <c r="E26" s="379"/>
      <c r="F26" s="379"/>
      <c r="G26" s="379"/>
      <c r="H26" s="379"/>
      <c r="I26" s="379"/>
      <c r="J26" s="380"/>
    </row>
    <row r="27" spans="1:10" ht="17.25" thickBot="1" thickTop="1">
      <c r="A27" s="51"/>
      <c r="B27" s="52"/>
      <c r="C27" s="52"/>
      <c r="D27" s="52"/>
      <c r="E27" s="52"/>
      <c r="F27" s="52"/>
      <c r="G27" s="52"/>
      <c r="H27" s="52"/>
      <c r="I27" s="52"/>
      <c r="J27" s="52"/>
    </row>
    <row r="28" spans="1:10" ht="21.75" thickBot="1" thickTop="1">
      <c r="A28" s="381" t="s">
        <v>1043</v>
      </c>
      <c r="B28" s="382"/>
      <c r="C28" s="382"/>
      <c r="D28" s="382"/>
      <c r="E28" s="382"/>
      <c r="F28" s="382"/>
      <c r="G28" s="382"/>
      <c r="H28" s="382"/>
      <c r="I28" s="382"/>
      <c r="J28" s="383"/>
    </row>
    <row r="29" spans="1:10" ht="21" customHeight="1" thickTop="1">
      <c r="A29" s="384" t="s">
        <v>461</v>
      </c>
      <c r="B29" s="385"/>
      <c r="C29" s="385"/>
      <c r="D29" s="385"/>
      <c r="E29" s="385"/>
      <c r="F29" s="385"/>
      <c r="G29" s="385"/>
      <c r="H29" s="385"/>
      <c r="I29" s="385"/>
      <c r="J29" s="386"/>
    </row>
    <row r="30" spans="1:10" ht="21" customHeight="1">
      <c r="A30" s="375" t="s">
        <v>462</v>
      </c>
      <c r="B30" s="376"/>
      <c r="C30" s="376"/>
      <c r="D30" s="376"/>
      <c r="E30" s="376"/>
      <c r="F30" s="376"/>
      <c r="G30" s="376"/>
      <c r="H30" s="376"/>
      <c r="I30" s="376"/>
      <c r="J30" s="377"/>
    </row>
    <row r="31" spans="1:10" ht="21" customHeight="1">
      <c r="A31" s="375" t="s">
        <v>463</v>
      </c>
      <c r="B31" s="376"/>
      <c r="C31" s="376"/>
      <c r="D31" s="376"/>
      <c r="E31" s="376"/>
      <c r="F31" s="376"/>
      <c r="G31" s="376"/>
      <c r="H31" s="376"/>
      <c r="I31" s="376"/>
      <c r="J31" s="377"/>
    </row>
    <row r="32" spans="1:10" ht="21" customHeight="1">
      <c r="A32" s="375" t="s">
        <v>464</v>
      </c>
      <c r="B32" s="376"/>
      <c r="C32" s="376"/>
      <c r="D32" s="376"/>
      <c r="E32" s="376"/>
      <c r="F32" s="376"/>
      <c r="G32" s="376"/>
      <c r="H32" s="376"/>
      <c r="I32" s="376"/>
      <c r="J32" s="377"/>
    </row>
    <row r="33" spans="1:10" ht="21" customHeight="1">
      <c r="A33" s="375" t="s">
        <v>1226</v>
      </c>
      <c r="B33" s="376"/>
      <c r="C33" s="376"/>
      <c r="D33" s="376"/>
      <c r="E33" s="376"/>
      <c r="F33" s="376"/>
      <c r="G33" s="376"/>
      <c r="H33" s="376"/>
      <c r="I33" s="376"/>
      <c r="J33" s="377"/>
    </row>
    <row r="34" spans="1:10" ht="21" customHeight="1" thickBot="1">
      <c r="A34" s="378" t="s">
        <v>1227</v>
      </c>
      <c r="B34" s="379"/>
      <c r="C34" s="379"/>
      <c r="D34" s="379"/>
      <c r="E34" s="379"/>
      <c r="F34" s="379"/>
      <c r="G34" s="379"/>
      <c r="H34" s="379"/>
      <c r="I34" s="379"/>
      <c r="J34" s="380"/>
    </row>
    <row r="35" ht="13.5" thickTop="1"/>
    <row r="36" ht="13.5" thickBot="1"/>
    <row r="37" spans="1:10" ht="21.75" thickBot="1" thickTop="1">
      <c r="A37" s="381" t="s">
        <v>1044</v>
      </c>
      <c r="B37" s="382"/>
      <c r="C37" s="382"/>
      <c r="D37" s="382"/>
      <c r="E37" s="382"/>
      <c r="F37" s="382"/>
      <c r="G37" s="382"/>
      <c r="H37" s="382"/>
      <c r="I37" s="382"/>
      <c r="J37" s="383"/>
    </row>
    <row r="38" spans="1:10" ht="21" customHeight="1" thickTop="1">
      <c r="A38" s="375" t="s">
        <v>465</v>
      </c>
      <c r="B38" s="376"/>
      <c r="C38" s="376"/>
      <c r="D38" s="376"/>
      <c r="E38" s="376"/>
      <c r="F38" s="376"/>
      <c r="G38" s="376"/>
      <c r="H38" s="376"/>
      <c r="I38" s="376"/>
      <c r="J38" s="377"/>
    </row>
    <row r="39" spans="1:10" ht="21" customHeight="1" thickBot="1">
      <c r="A39" s="378" t="s">
        <v>466</v>
      </c>
      <c r="B39" s="379"/>
      <c r="C39" s="379"/>
      <c r="D39" s="379"/>
      <c r="E39" s="379"/>
      <c r="F39" s="379"/>
      <c r="G39" s="379"/>
      <c r="H39" s="379"/>
      <c r="I39" s="379"/>
      <c r="J39" s="380"/>
    </row>
    <row r="40" spans="1:10" ht="9.75" customHeight="1" thickBot="1" thickTop="1">
      <c r="A40" s="53"/>
      <c r="B40" s="59"/>
      <c r="C40" s="59"/>
      <c r="D40" s="59"/>
      <c r="E40" s="59"/>
      <c r="F40" s="59"/>
      <c r="G40" s="59"/>
      <c r="H40" s="59"/>
      <c r="I40" s="59"/>
      <c r="J40" s="60"/>
    </row>
    <row r="41" spans="1:10" ht="21.75" thickBot="1" thickTop="1">
      <c r="A41" s="381" t="s">
        <v>1045</v>
      </c>
      <c r="B41" s="382"/>
      <c r="C41" s="382"/>
      <c r="D41" s="382"/>
      <c r="E41" s="382"/>
      <c r="F41" s="382"/>
      <c r="G41" s="382"/>
      <c r="H41" s="382"/>
      <c r="I41" s="382"/>
      <c r="J41" s="383"/>
    </row>
    <row r="42" spans="1:10" ht="21" customHeight="1" thickTop="1">
      <c r="A42" s="384" t="s">
        <v>467</v>
      </c>
      <c r="B42" s="385"/>
      <c r="C42" s="385"/>
      <c r="D42" s="385"/>
      <c r="E42" s="385"/>
      <c r="F42" s="385"/>
      <c r="G42" s="385"/>
      <c r="H42" s="385"/>
      <c r="I42" s="385"/>
      <c r="J42" s="386"/>
    </row>
    <row r="43" spans="1:10" ht="21" customHeight="1">
      <c r="A43" s="375" t="s">
        <v>468</v>
      </c>
      <c r="B43" s="376"/>
      <c r="C43" s="376"/>
      <c r="D43" s="376"/>
      <c r="E43" s="376"/>
      <c r="F43" s="376"/>
      <c r="G43" s="376"/>
      <c r="H43" s="376"/>
      <c r="I43" s="376"/>
      <c r="J43" s="377"/>
    </row>
    <row r="44" spans="1:10" ht="21" customHeight="1" thickBot="1">
      <c r="A44" s="378" t="s">
        <v>469</v>
      </c>
      <c r="B44" s="379"/>
      <c r="C44" s="379"/>
      <c r="D44" s="379"/>
      <c r="E44" s="379"/>
      <c r="F44" s="379"/>
      <c r="G44" s="379"/>
      <c r="H44" s="379"/>
      <c r="I44" s="379"/>
      <c r="J44" s="380"/>
    </row>
    <row r="45" ht="13.5" thickTop="1"/>
  </sheetData>
  <mergeCells count="38">
    <mergeCell ref="A37:J37"/>
    <mergeCell ref="A38:J38"/>
    <mergeCell ref="A39:J39"/>
    <mergeCell ref="A41:J41"/>
    <mergeCell ref="A42:J42"/>
    <mergeCell ref="A43:J43"/>
    <mergeCell ref="A44:J44"/>
    <mergeCell ref="A1:J1"/>
    <mergeCell ref="A2:J2"/>
    <mergeCell ref="A3:J3"/>
    <mergeCell ref="A4:J4"/>
    <mergeCell ref="A5:J5"/>
    <mergeCell ref="A6:J6"/>
    <mergeCell ref="A7:J7"/>
    <mergeCell ref="A8:J8"/>
    <mergeCell ref="A9:J9"/>
    <mergeCell ref="A11:J11"/>
    <mergeCell ref="A12:J12"/>
    <mergeCell ref="A13:J13"/>
    <mergeCell ref="A14:J14"/>
    <mergeCell ref="A16:J16"/>
    <mergeCell ref="A18:J18"/>
    <mergeCell ref="A19:J19"/>
    <mergeCell ref="A15:J15"/>
    <mergeCell ref="A20:J20"/>
    <mergeCell ref="A21:J21"/>
    <mergeCell ref="A23:J23"/>
    <mergeCell ref="A24:J24"/>
    <mergeCell ref="A22:J22"/>
    <mergeCell ref="A25:J25"/>
    <mergeCell ref="A26:J26"/>
    <mergeCell ref="A28:J28"/>
    <mergeCell ref="A29:J29"/>
    <mergeCell ref="A30:J30"/>
    <mergeCell ref="A31:J31"/>
    <mergeCell ref="A32:J32"/>
    <mergeCell ref="A33:J33"/>
    <mergeCell ref="A34:J34"/>
  </mergeCells>
  <printOptions/>
  <pageMargins left="0.75" right="0.75" top="1" bottom="1" header="0.5" footer="0.5"/>
  <pageSetup fitToHeight="1" fitToWidth="1" horizontalDpi="600" verticalDpi="600" orientation="portrait" scale="59" r:id="rId1"/>
</worksheet>
</file>

<file path=xl/worksheets/sheet9.xml><?xml version="1.0" encoding="utf-8"?>
<worksheet xmlns="http://schemas.openxmlformats.org/spreadsheetml/2006/main" xmlns:r="http://schemas.openxmlformats.org/officeDocument/2006/relationships">
  <sheetPr codeName="Sheet12"/>
  <dimension ref="A1:G29"/>
  <sheetViews>
    <sheetView showGridLines="0" workbookViewId="0" topLeftCell="A1">
      <selection activeCell="A3" sqref="A3:G3"/>
    </sheetView>
  </sheetViews>
  <sheetFormatPr defaultColWidth="9.140625" defaultRowHeight="12.75"/>
  <cols>
    <col min="1" max="2" width="14.57421875" style="0" customWidth="1"/>
    <col min="3" max="3" width="16.7109375" style="0" customWidth="1"/>
    <col min="4" max="4" width="17.421875" style="0" customWidth="1"/>
    <col min="5" max="5" width="18.140625" style="0" customWidth="1"/>
    <col min="6" max="7" width="18.421875" style="0" customWidth="1"/>
  </cols>
  <sheetData>
    <row r="1" spans="1:7" ht="12.75" customHeight="1">
      <c r="A1" s="408" t="s">
        <v>1422</v>
      </c>
      <c r="B1" s="409"/>
      <c r="C1" s="409"/>
      <c r="D1" s="409"/>
      <c r="E1" s="409"/>
      <c r="F1" s="409"/>
      <c r="G1" s="410"/>
    </row>
    <row r="2" spans="1:7" ht="13.5" customHeight="1">
      <c r="A2" s="402"/>
      <c r="B2" s="403"/>
      <c r="C2" s="403"/>
      <c r="D2" s="403"/>
      <c r="E2" s="403"/>
      <c r="F2" s="403"/>
      <c r="G2" s="404"/>
    </row>
    <row r="3" spans="1:7" ht="12.75" customHeight="1">
      <c r="A3" s="358" t="s">
        <v>347</v>
      </c>
      <c r="B3" s="358"/>
      <c r="C3" s="358"/>
      <c r="D3" s="358"/>
      <c r="E3" s="358"/>
      <c r="F3" s="358"/>
      <c r="G3" s="358"/>
    </row>
    <row r="4" spans="1:7" ht="12.75" customHeight="1">
      <c r="A4" s="356" t="s">
        <v>1421</v>
      </c>
      <c r="B4" s="411"/>
      <c r="C4" s="411"/>
      <c r="D4" s="411"/>
      <c r="E4" s="411"/>
      <c r="F4" s="411"/>
      <c r="G4" s="357"/>
    </row>
    <row r="5" spans="1:7" ht="12.75" customHeight="1">
      <c r="A5" s="358" t="s">
        <v>1579</v>
      </c>
      <c r="B5" s="358"/>
      <c r="C5" s="358"/>
      <c r="D5" s="358"/>
      <c r="E5" s="358"/>
      <c r="F5" s="358"/>
      <c r="G5" s="358"/>
    </row>
    <row r="6" spans="1:7" ht="12.75" customHeight="1">
      <c r="A6" s="402" t="s">
        <v>335</v>
      </c>
      <c r="B6" s="403"/>
      <c r="C6" s="403"/>
      <c r="D6" s="403"/>
      <c r="E6" s="403"/>
      <c r="F6" s="403"/>
      <c r="G6" s="404"/>
    </row>
    <row r="7" spans="1:7" ht="13.5" customHeight="1" thickBot="1">
      <c r="A7" s="405"/>
      <c r="B7" s="406"/>
      <c r="C7" s="406"/>
      <c r="D7" s="406"/>
      <c r="E7" s="406"/>
      <c r="F7" s="406"/>
      <c r="G7" s="407"/>
    </row>
    <row r="8" spans="1:7" ht="13.5" thickBot="1">
      <c r="A8" s="5" t="s">
        <v>336</v>
      </c>
      <c r="B8" s="88" t="s">
        <v>310</v>
      </c>
      <c r="C8" s="6" t="s">
        <v>337</v>
      </c>
      <c r="D8" s="6" t="s">
        <v>338</v>
      </c>
      <c r="E8" s="6" t="s">
        <v>339</v>
      </c>
      <c r="F8" s="6" t="s">
        <v>340</v>
      </c>
      <c r="G8" s="7" t="s">
        <v>341</v>
      </c>
    </row>
    <row r="9" spans="1:7" s="24" customFormat="1" ht="12.75">
      <c r="A9" s="228">
        <v>37316</v>
      </c>
      <c r="B9" s="229" t="s">
        <v>457</v>
      </c>
      <c r="C9" s="230" t="s">
        <v>620</v>
      </c>
      <c r="D9" s="230" t="s">
        <v>621</v>
      </c>
      <c r="E9" s="230" t="s">
        <v>621</v>
      </c>
      <c r="F9" s="230" t="s">
        <v>622</v>
      </c>
      <c r="G9" s="230" t="s">
        <v>623</v>
      </c>
    </row>
    <row r="10" spans="1:7" ht="12.75">
      <c r="A10" s="8"/>
      <c r="B10" s="89"/>
      <c r="C10" s="9"/>
      <c r="D10" s="9"/>
      <c r="E10" s="9"/>
      <c r="F10" s="9"/>
      <c r="G10" s="9"/>
    </row>
    <row r="11" spans="1:7" ht="12.75">
      <c r="A11" s="8"/>
      <c r="B11" s="89"/>
      <c r="C11" s="9"/>
      <c r="D11" s="9"/>
      <c r="E11" s="9"/>
      <c r="F11" s="9"/>
      <c r="G11" s="9"/>
    </row>
    <row r="12" spans="1:7" ht="12.75">
      <c r="A12" s="8"/>
      <c r="B12" s="89"/>
      <c r="C12" s="9"/>
      <c r="D12" s="9"/>
      <c r="E12" s="9"/>
      <c r="F12" s="9"/>
      <c r="G12" s="9"/>
    </row>
    <row r="13" spans="1:7" ht="12.75">
      <c r="A13" s="8"/>
      <c r="B13" s="89"/>
      <c r="C13" s="9"/>
      <c r="D13" s="9"/>
      <c r="E13" s="9"/>
      <c r="F13" s="9"/>
      <c r="G13" s="9"/>
    </row>
    <row r="14" spans="1:7" ht="12.75">
      <c r="A14" s="8"/>
      <c r="B14" s="89"/>
      <c r="C14" s="9"/>
      <c r="D14" s="9"/>
      <c r="E14" s="9"/>
      <c r="F14" s="9"/>
      <c r="G14" s="9"/>
    </row>
    <row r="15" spans="1:7" ht="12.75">
      <c r="A15" s="8"/>
      <c r="B15" s="89"/>
      <c r="C15" s="9"/>
      <c r="D15" s="9"/>
      <c r="E15" s="9"/>
      <c r="F15" s="9"/>
      <c r="G15" s="9"/>
    </row>
    <row r="16" spans="1:7" ht="12.75">
      <c r="A16" s="8"/>
      <c r="B16" s="89"/>
      <c r="C16" s="9"/>
      <c r="D16" s="9"/>
      <c r="E16" s="9"/>
      <c r="F16" s="9"/>
      <c r="G16" s="9"/>
    </row>
    <row r="17" spans="1:7" ht="12.75">
      <c r="A17" s="8"/>
      <c r="B17" s="89"/>
      <c r="C17" s="9"/>
      <c r="D17" s="9"/>
      <c r="E17" s="9"/>
      <c r="F17" s="9"/>
      <c r="G17" s="9"/>
    </row>
    <row r="18" spans="1:7" ht="12.75">
      <c r="A18" s="8"/>
      <c r="B18" s="89"/>
      <c r="C18" s="9"/>
      <c r="D18" s="9"/>
      <c r="E18" s="9"/>
      <c r="F18" s="9"/>
      <c r="G18" s="9"/>
    </row>
    <row r="19" spans="1:7" ht="12.75">
      <c r="A19" s="8"/>
      <c r="B19" s="89"/>
      <c r="C19" s="9"/>
      <c r="D19" s="9"/>
      <c r="E19" s="9"/>
      <c r="F19" s="9"/>
      <c r="G19" s="9"/>
    </row>
    <row r="20" spans="1:7" ht="12.75">
      <c r="A20" s="8"/>
      <c r="B20" s="89"/>
      <c r="C20" s="9"/>
      <c r="D20" s="9"/>
      <c r="E20" s="9"/>
      <c r="F20" s="9"/>
      <c r="G20" s="9"/>
    </row>
    <row r="21" spans="1:7" ht="12.75">
      <c r="A21" s="8"/>
      <c r="B21" s="89"/>
      <c r="C21" s="9"/>
      <c r="D21" s="9"/>
      <c r="E21" s="9"/>
      <c r="F21" s="9"/>
      <c r="G21" s="9"/>
    </row>
    <row r="22" spans="1:7" ht="12.75">
      <c r="A22" s="8"/>
      <c r="B22" s="89"/>
      <c r="C22" s="9"/>
      <c r="D22" s="9"/>
      <c r="E22" s="9"/>
      <c r="F22" s="9"/>
      <c r="G22" s="9"/>
    </row>
    <row r="23" spans="1:7" ht="12.75">
      <c r="A23" s="8"/>
      <c r="B23" s="89"/>
      <c r="C23" s="9"/>
      <c r="D23" s="9"/>
      <c r="E23" s="9"/>
      <c r="F23" s="9"/>
      <c r="G23" s="9"/>
    </row>
    <row r="24" spans="1:7" ht="12.75">
      <c r="A24" s="8"/>
      <c r="B24" s="89"/>
      <c r="C24" s="9"/>
      <c r="D24" s="9"/>
      <c r="E24" s="9"/>
      <c r="F24" s="9"/>
      <c r="G24" s="9"/>
    </row>
    <row r="25" spans="1:7" ht="12.75">
      <c r="A25" s="8"/>
      <c r="B25" s="89"/>
      <c r="C25" s="9"/>
      <c r="D25" s="9"/>
      <c r="E25" s="9"/>
      <c r="F25" s="9"/>
      <c r="G25" s="9"/>
    </row>
    <row r="26" spans="1:7" ht="12.75">
      <c r="A26" s="8"/>
      <c r="B26" s="89"/>
      <c r="C26" s="9"/>
      <c r="D26" s="9"/>
      <c r="E26" s="9"/>
      <c r="F26" s="9"/>
      <c r="G26" s="9"/>
    </row>
    <row r="27" spans="1:7" ht="12.75">
      <c r="A27" s="8"/>
      <c r="B27" s="89"/>
      <c r="C27" s="9"/>
      <c r="D27" s="9"/>
      <c r="E27" s="9"/>
      <c r="F27" s="9"/>
      <c r="G27" s="9"/>
    </row>
    <row r="28" spans="1:7" ht="12.75">
      <c r="A28" s="8"/>
      <c r="B28" s="89"/>
      <c r="C28" s="9"/>
      <c r="D28" s="9"/>
      <c r="E28" s="9"/>
      <c r="F28" s="9"/>
      <c r="G28" s="9"/>
    </row>
    <row r="29" spans="1:7" ht="12.75">
      <c r="A29" s="8"/>
      <c r="B29" s="89"/>
      <c r="C29" s="9"/>
      <c r="D29" s="9"/>
      <c r="E29" s="9"/>
      <c r="F29" s="9"/>
      <c r="G29" s="9"/>
    </row>
  </sheetData>
  <mergeCells count="5">
    <mergeCell ref="A6:G7"/>
    <mergeCell ref="A1:G2"/>
    <mergeCell ref="A3:G3"/>
    <mergeCell ref="A5:G5"/>
    <mergeCell ref="A4:G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wwm017</dc:creator>
  <cp:keywords/>
  <dc:description/>
  <cp:lastModifiedBy>waf076</cp:lastModifiedBy>
  <dcterms:created xsi:type="dcterms:W3CDTF">2004-09-17T13:20:26Z</dcterms:created>
  <dcterms:modified xsi:type="dcterms:W3CDTF">2007-03-02T21:34:42Z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705328080</vt:i4>
  </property>
  <property fmtid="{D5CDD505-2E9C-101B-9397-08002B2CF9AE}" pid="3" name="_EmailSubject">
    <vt:lpwstr>Master Template</vt:lpwstr>
  </property>
  <property fmtid="{D5CDD505-2E9C-101B-9397-08002B2CF9AE}" pid="4" name="_AuthorEmail">
    <vt:lpwstr>john.rheims@motorola.com</vt:lpwstr>
  </property>
  <property fmtid="{D5CDD505-2E9C-101B-9397-08002B2CF9AE}" pid="5" name="_AuthorEmailDisplayName">
    <vt:lpwstr>Rheims John-CJR014</vt:lpwstr>
  </property>
  <property fmtid="{D5CDD505-2E9C-101B-9397-08002B2CF9AE}" pid="6" name="_PreviousAdHocReviewCycleID">
    <vt:i4>194618484</vt:i4>
  </property>
  <property fmtid="{D5CDD505-2E9C-101B-9397-08002B2CF9AE}" pid="7" name="_NewReviewCycle">
    <vt:lpwstr/>
  </property>
  <property fmtid="{D5CDD505-2E9C-101B-9397-08002B2CF9AE}" pid="8" name="_ReviewingToolsShownOnce">
    <vt:lpwstr/>
  </property>
</Properties>
</file>